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ummary" sheetId="2" r:id="rId6"/>
    <sheet state="visible" name="Boss" sheetId="3" r:id="rId7"/>
    <sheet state="visible" name="VPA.Director" sheetId="4" r:id="rId8"/>
    <sheet state="visible" name="000" sheetId="5" r:id="rId9"/>
    <sheet state="visible" name="600.VPA" sheetId="6" r:id="rId10"/>
    <sheet state="visible" name="ADC.Director" sheetId="7" r:id="rId11"/>
    <sheet state="visible" name="300" sheetId="8" r:id="rId12"/>
    <sheet state="visible" name="500" sheetId="9" r:id="rId13"/>
    <sheet state="hidden" name="StaffInformation" sheetId="10" r:id="rId14"/>
    <sheet state="visible" name="Data" sheetId="11" r:id="rId15"/>
    <sheet state="visible" name="StaffInformation0" sheetId="12" r:id="rId16"/>
    <sheet state="hidden" name="ADDSTORE Raw" sheetId="13" r:id="rId17"/>
    <sheet state="hidden" name="ADDSTORE" sheetId="14" r:id="rId18"/>
  </sheets>
  <definedNames>
    <definedName hidden="1" localSheetId="3" name="_xlnm._FilterDatabase">VPA.Director!$A$2:$F$23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Boss already given penalty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2">
      <text>
        <t xml:space="preserve">Responder updated this value.</t>
      </text>
    </comment>
    <comment authorId="0" ref="E53">
      <text>
        <t xml:space="preserve">Responder updated this value.</t>
      </text>
    </comment>
    <comment authorId="0" ref="D51">
      <text>
        <t xml:space="preserve">Responder updated this value.</t>
      </text>
    </comment>
    <comment authorId="0" ref="E52">
      <text>
        <t xml:space="preserve">Responder updated this value.</t>
      </text>
    </comment>
    <comment authorId="0" ref="E51">
      <text>
        <t xml:space="preserve">Responder updated this value.</t>
      </text>
    </comment>
    <comment authorId="0" ref="D53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<sst xmlns="http://schemas.openxmlformats.org/spreadsheetml/2006/main" count="1625" uniqueCount="329">
  <si>
    <t>Img</t>
  </si>
  <si>
    <t>🔴</t>
  </si>
  <si>
    <t>x</t>
  </si>
  <si>
    <t>Hieu.600</t>
  </si>
  <si>
    <t>Dat.600</t>
  </si>
  <si>
    <t>Trang.600</t>
  </si>
  <si>
    <t>Duong.600</t>
  </si>
  <si>
    <t>Quynh.600</t>
  </si>
  <si>
    <t/>
  </si>
  <si>
    <t>Lam.600</t>
  </si>
  <si>
    <t>Huyen.600</t>
  </si>
  <si>
    <t>Quan.600</t>
  </si>
  <si>
    <t>Giang.500</t>
  </si>
  <si>
    <t>Lan Huong.600</t>
  </si>
  <si>
    <t>Kien.TYM</t>
  </si>
  <si>
    <t>Vu.600</t>
  </si>
  <si>
    <t>Quyet.600</t>
  </si>
  <si>
    <t>Thuyet.Site</t>
  </si>
  <si>
    <t>Tien.200</t>
  </si>
  <si>
    <t>Luat.000</t>
  </si>
  <si>
    <t>Duy Anh.200</t>
  </si>
  <si>
    <t>Trang.300</t>
  </si>
  <si>
    <t>Sim.300</t>
  </si>
  <si>
    <t>Thuy.300</t>
  </si>
  <si>
    <t>Hong.300</t>
  </si>
  <si>
    <t>Tam.500</t>
  </si>
  <si>
    <t xml:space="preserve">Completed target:  </t>
  </si>
  <si>
    <t>Thao.500</t>
  </si>
  <si>
    <t>r</t>
  </si>
  <si>
    <t>Quyen.500</t>
  </si>
  <si>
    <t>Hieu.100</t>
  </si>
  <si>
    <t>- Automatically calculating -</t>
  </si>
  <si>
    <t xml:space="preserve">Total Penalty/ Bonus  - Result - 결과 </t>
  </si>
  <si>
    <r>
      <rPr>
        <rFont val="Arial"/>
        <color rgb="FFFF0000"/>
      </rPr>
      <t xml:space="preserve">WARNING: Do </t>
    </r>
    <r>
      <rPr>
        <rFont val="Arial"/>
        <b/>
        <color rgb="FFFF0000"/>
      </rPr>
      <t>NOT DELETE</t>
    </r>
    <r>
      <rPr>
        <rFont val="Arial"/>
        <color rgb="FFFF0000"/>
      </rPr>
      <t xml:space="preserve"> this row !!!</t>
    </r>
  </si>
  <si>
    <t>Staff Code</t>
  </si>
  <si>
    <t>Staff - 인사</t>
  </si>
  <si>
    <t>Email</t>
  </si>
  <si>
    <t>Position - 위치</t>
  </si>
  <si>
    <t>VPA</t>
  </si>
  <si>
    <t>VPA - 600 - Hieu</t>
  </si>
  <si>
    <t>Bui Trung</t>
  </si>
  <si>
    <t>hieubt@planadd.com</t>
  </si>
  <si>
    <t>Staff - 600</t>
  </si>
  <si>
    <t>VPA - 600 - Dat</t>
  </si>
  <si>
    <t>Tran Tien</t>
  </si>
  <si>
    <t>dattt@planadd.com</t>
  </si>
  <si>
    <t>VPA - 600 - Trang</t>
  </si>
  <si>
    <t>Nguyen Thi Thu</t>
  </si>
  <si>
    <t>ntttrang@planadd.com</t>
  </si>
  <si>
    <t>Vice Team Leader</t>
  </si>
  <si>
    <t>VPA - 600 - Duong</t>
  </si>
  <si>
    <t>Nguyen Binh</t>
  </si>
  <si>
    <t>nbduong@planadd.com</t>
  </si>
  <si>
    <t>VPA - 600 - Quynh</t>
  </si>
  <si>
    <t>Le Ngoc</t>
  </si>
  <si>
    <t>quynhln@planadd.com</t>
  </si>
  <si>
    <t>VPA - 600 - Lam</t>
  </si>
  <si>
    <t>Nguyen Tung</t>
  </si>
  <si>
    <t>lamnt@planadd.com</t>
  </si>
  <si>
    <t>VPA - 600 - Huyen</t>
  </si>
  <si>
    <t>Vo Thi Tra</t>
  </si>
  <si>
    <t>vttgiang@planadd.com</t>
  </si>
  <si>
    <t>VPA - 600 - Quan</t>
  </si>
  <si>
    <t>Le Anh</t>
  </si>
  <si>
    <t>laquan@planadd.com</t>
  </si>
  <si>
    <t>VPA - 500 - Giang</t>
  </si>
  <si>
    <t>Dao Truong</t>
  </si>
  <si>
    <t>giangdt@planadd.com</t>
  </si>
  <si>
    <t>Staff - 500</t>
  </si>
  <si>
    <t>VPA - Vice Director - Lan Huong</t>
  </si>
  <si>
    <t>Nguyen</t>
  </si>
  <si>
    <t>nlhuong@planadd.com</t>
  </si>
  <si>
    <t>Director</t>
  </si>
  <si>
    <t>TYM - 600 - Kien</t>
  </si>
  <si>
    <t>Nguyen Dinh</t>
  </si>
  <si>
    <t>ndkien@add-group.net</t>
  </si>
  <si>
    <t>Team Leader</t>
  </si>
  <si>
    <t>ADC</t>
  </si>
  <si>
    <t>VPA - 600 - Vu</t>
  </si>
  <si>
    <t>Nguyen Anh</t>
  </si>
  <si>
    <t>vuna@planadd.com</t>
  </si>
  <si>
    <t>ADD - 600 - Quyet</t>
  </si>
  <si>
    <t>Nguyen Van</t>
  </si>
  <si>
    <t>thangnd@planadd.com</t>
  </si>
  <si>
    <t>Supervisor</t>
  </si>
  <si>
    <t>ADC - Site Manager - Thuyet</t>
  </si>
  <si>
    <t>Dang Dinh</t>
  </si>
  <si>
    <t>ddthuyet@add-group.net</t>
  </si>
  <si>
    <t>Site Manager</t>
  </si>
  <si>
    <t>VPA - 600 - Nam</t>
  </si>
  <si>
    <t>Nam.600</t>
  </si>
  <si>
    <t>Nguyen Thanh</t>
  </si>
  <si>
    <t>namnt@planadd.com</t>
  </si>
  <si>
    <t>GROUP</t>
  </si>
  <si>
    <t>GROUP - 200 - Tien</t>
  </si>
  <si>
    <t>Trieu Thuy</t>
  </si>
  <si>
    <t>tientt@add-group.net</t>
  </si>
  <si>
    <t>Staff - 200</t>
  </si>
  <si>
    <t>GROUP - 000-200 - Luat</t>
  </si>
  <si>
    <t>To Vu</t>
  </si>
  <si>
    <t>tvluat@add-group.net</t>
  </si>
  <si>
    <t>Staff - 000-100</t>
  </si>
  <si>
    <t>GROUP - 200 - Duy Anh</t>
  </si>
  <si>
    <t>Do</t>
  </si>
  <si>
    <t>800.1@add-group.net</t>
  </si>
  <si>
    <t>GROUP - 300 - Trang</t>
  </si>
  <si>
    <t>Nguyen Quynh</t>
  </si>
  <si>
    <t>nqtrang@add-group.net</t>
  </si>
  <si>
    <t>Staff - 300</t>
  </si>
  <si>
    <t>GROUP - 300 - Sim</t>
  </si>
  <si>
    <t>Le Thi</t>
  </si>
  <si>
    <t>ltsim@add-group.net</t>
  </si>
  <si>
    <t>GROUP - 300 - Thuy</t>
  </si>
  <si>
    <t>Nguyen Thi</t>
  </si>
  <si>
    <t>ntthuy@add-group.net</t>
  </si>
  <si>
    <t>GROUP - 300 - Hong</t>
  </si>
  <si>
    <t>Vu Thi</t>
  </si>
  <si>
    <t>vthong@add-group.net</t>
  </si>
  <si>
    <t>GROUP - 500 - Tam</t>
  </si>
  <si>
    <t>Truong Minh</t>
  </si>
  <si>
    <t>tmtam@add-group.net</t>
  </si>
  <si>
    <t>GROUP - 500 - Thao</t>
  </si>
  <si>
    <t>Trần Ngọc</t>
  </si>
  <si>
    <t>thaotn@planadd.com</t>
  </si>
  <si>
    <t>GROUP - 500 - Quyen</t>
  </si>
  <si>
    <t>quyenlt@add-group.net</t>
  </si>
  <si>
    <t>GROUP - 000-100 - Hieu</t>
  </si>
  <si>
    <t>Au Thi</t>
  </si>
  <si>
    <t>athieu@add-group.net</t>
  </si>
  <si>
    <t>Staff - 100</t>
  </si>
  <si>
    <t>Total Penalty/ Bonus 2022 - Result - 결과 2022</t>
  </si>
  <si>
    <r>
      <rPr>
        <rFont val="Arial"/>
        <color rgb="FFFF0000"/>
      </rPr>
      <t xml:space="preserve">WARNING: Do </t>
    </r>
    <r>
      <rPr>
        <rFont val="Arial"/>
        <b/>
        <color rgb="FFFF0000"/>
      </rPr>
      <t>NOT DELETE</t>
    </r>
    <r>
      <rPr>
        <rFont val="Arial"/>
        <color rgb="FFFF0000"/>
      </rPr>
      <t xml:space="preserve"> this row !!!</t>
    </r>
  </si>
  <si>
    <t>Penalty</t>
  </si>
  <si>
    <t>Bonus</t>
  </si>
  <si>
    <t>Active</t>
  </si>
  <si>
    <t>Bùi Trung Hiếu</t>
  </si>
  <si>
    <t>Trần Tiến Đạt</t>
  </si>
  <si>
    <t>Nguyễn Thị Thu Trang</t>
  </si>
  <si>
    <t>Nguyễn Bình Dương</t>
  </si>
  <si>
    <t>Lê Ngọc Quỳnh</t>
  </si>
  <si>
    <t>Nguyễn Tùng Lâm</t>
  </si>
  <si>
    <t>Vũ Thanh Huyền</t>
  </si>
  <si>
    <t>huyenvt@planadd.com</t>
  </si>
  <si>
    <t>Lê Anh Quân</t>
  </si>
  <si>
    <t>Đào Trường Giang</t>
  </si>
  <si>
    <t>Nguyễn Lan Hương</t>
  </si>
  <si>
    <t>Nguyễn Anh Vũ</t>
  </si>
  <si>
    <t>TYM</t>
  </si>
  <si>
    <t>Nguyễn Đình Kiên</t>
  </si>
  <si>
    <t>Manager</t>
  </si>
  <si>
    <t>Nguyễn Văn Quyết</t>
  </si>
  <si>
    <t>Đặng Đình Thuyết</t>
  </si>
  <si>
    <t>Nguyễn Thành Nam</t>
  </si>
  <si>
    <t>Tô Vũ Luật</t>
  </si>
  <si>
    <t>Đỗ Duy Anh</t>
  </si>
  <si>
    <t>anhdd@add-group.net</t>
  </si>
  <si>
    <t>Lê Thị Sim</t>
  </si>
  <si>
    <t>Nguyễn Thị Thủy</t>
  </si>
  <si>
    <t>Staff-300</t>
  </si>
  <si>
    <t>Nguyễn Quỳnh Trang</t>
  </si>
  <si>
    <t>Vũ Thị Hồng</t>
  </si>
  <si>
    <t>Trương Minh Tâm</t>
  </si>
  <si>
    <t>Trần Ngọc Thảo</t>
  </si>
  <si>
    <t>thaont@planadd.com</t>
  </si>
  <si>
    <t>Bùi Thùy Dương</t>
  </si>
  <si>
    <t>Âu Thị Hiếu</t>
  </si>
  <si>
    <t>Triệu Thủy Tiên</t>
  </si>
  <si>
    <t>SCORE</t>
  </si>
  <si>
    <t xml:space="preserve"> </t>
  </si>
  <si>
    <t>🎮Dashboard</t>
  </si>
  <si>
    <t>📈Summary</t>
  </si>
  <si>
    <t>🎲</t>
  </si>
  <si>
    <t>Staff Code:</t>
  </si>
  <si>
    <t>🎶</t>
  </si>
  <si>
    <t>Nick Name:</t>
  </si>
  <si>
    <t>Major ⚓</t>
  </si>
  <si>
    <t>Architect</t>
  </si>
  <si>
    <t>✔️</t>
  </si>
  <si>
    <t>Full Name:</t>
  </si>
  <si>
    <t>English Skill 🚀</t>
  </si>
  <si>
    <t>Good</t>
  </si>
  <si>
    <t>💼</t>
  </si>
  <si>
    <t>Position:</t>
  </si>
  <si>
    <t>Vice team leader</t>
  </si>
  <si>
    <t>Computer skill 💻</t>
  </si>
  <si>
    <t>🐣</t>
  </si>
  <si>
    <t>Birth:</t>
  </si>
  <si>
    <t>19/07/1987</t>
  </si>
  <si>
    <t>⚔️</t>
  </si>
  <si>
    <t>Experience:</t>
  </si>
  <si>
    <t>13 년</t>
  </si>
  <si>
    <t>📖</t>
  </si>
  <si>
    <t>Quote:</t>
  </si>
  <si>
    <t>"Today'work, tomorrow's heritage"</t>
  </si>
  <si>
    <t>❤️️</t>
  </si>
  <si>
    <t xml:space="preserve">Target 🎯 </t>
  </si>
  <si>
    <t>Deadline 📌</t>
  </si>
  <si>
    <t>Process</t>
  </si>
  <si>
    <t>Reward  ❤️️</t>
  </si>
  <si>
    <t>Result</t>
  </si>
  <si>
    <t>...</t>
  </si>
  <si>
    <t>Truong Minh Tam</t>
  </si>
  <si>
    <t>500 Leader</t>
  </si>
  <si>
    <t>"Meat Plus"</t>
  </si>
  <si>
    <t>30/12/1993</t>
  </si>
  <si>
    <t>8 years</t>
  </si>
  <si>
    <t>"Work smarter not harder"</t>
  </si>
  <si>
    <t>Le Thi Quyen</t>
  </si>
  <si>
    <t>BOQ Staff</t>
  </si>
  <si>
    <t>5 years</t>
  </si>
  <si>
    <t>Medium</t>
  </si>
  <si>
    <t>Perfect</t>
  </si>
  <si>
    <t>.../.../...</t>
  </si>
  <si>
    <t>Le Anh Quan</t>
  </si>
  <si>
    <t>Designer</t>
  </si>
  <si>
    <t>"That which does not kill us makes us stronger."</t>
  </si>
  <si>
    <t>Nguyen Tung Lam</t>
  </si>
  <si>
    <t>Its the first step that counts</t>
  </si>
  <si>
    <t>VPA - 600 - Giang</t>
  </si>
  <si>
    <t>Giang.600</t>
  </si>
  <si>
    <t>Architecture</t>
  </si>
  <si>
    <t>Vo Thi Tra Giang</t>
  </si>
  <si>
    <t>05 Years</t>
  </si>
  <si>
    <t>" I just want to make people smile."</t>
  </si>
  <si>
    <t>VPA - 600 - Trung</t>
  </si>
  <si>
    <t>Trung.600</t>
  </si>
  <si>
    <t>Architectural</t>
  </si>
  <si>
    <t>Pham Duc Trung</t>
  </si>
  <si>
    <t>"Đụng là chạm - đến là đón 🔨"</t>
  </si>
  <si>
    <t>"Loading ..."</t>
  </si>
  <si>
    <t>Tran Tien Dat</t>
  </si>
  <si>
    <t>Desinger</t>
  </si>
  <si>
    <t>15/10/1993</t>
  </si>
  <si>
    <t>YOLOOO</t>
  </si>
  <si>
    <t>K.Anh.600</t>
  </si>
  <si>
    <t>Staff</t>
  </si>
  <si>
    <t>Decisive action</t>
  </si>
  <si>
    <t>VPA - 600 - Thang</t>
  </si>
  <si>
    <t>Thang.600</t>
  </si>
  <si>
    <t>Nguyen Duc Thang</t>
  </si>
  <si>
    <t>Supervisior</t>
  </si>
  <si>
    <t>Bui Trung Hieu</t>
  </si>
  <si>
    <t>Bringing the forest into the city</t>
  </si>
  <si>
    <t>Construction</t>
  </si>
  <si>
    <t>Kor</t>
  </si>
  <si>
    <t>Site manager</t>
  </si>
  <si>
    <t>19/09/1987</t>
  </si>
  <si>
    <t>15 year</t>
  </si>
  <si>
    <t>" Mang Tiền Về Cho Mẹ, Đừng Mang Ưu Phiến Về Cho Mẹ, ..."</t>
  </si>
  <si>
    <t>ADC - Site Director - Mr Park</t>
  </si>
  <si>
    <t>Mr Park.Site</t>
  </si>
  <si>
    <t>Park Jae Woo</t>
  </si>
  <si>
    <t>Site Director</t>
  </si>
  <si>
    <t>ADC - QC - Ha</t>
  </si>
  <si>
    <t>Ha.Site</t>
  </si>
  <si>
    <t>Nguyễn Thị Thanh Hà</t>
  </si>
  <si>
    <t>Engineer</t>
  </si>
  <si>
    <t>Accounting</t>
  </si>
  <si>
    <t>Vu Thi Hong</t>
  </si>
  <si>
    <t>" Không thể thay đổi được bản chất của một con người."</t>
  </si>
  <si>
    <t>Approved</t>
  </si>
  <si>
    <t>GROUP - 500 - Ngat</t>
  </si>
  <si>
    <t>Ngat.500</t>
  </si>
  <si>
    <t>Hoàng Thị Ngát</t>
  </si>
  <si>
    <t>11 years</t>
  </si>
  <si>
    <t>ADC - Site Director - Tien</t>
  </si>
  <si>
    <t>Tien.Site</t>
  </si>
  <si>
    <t>Nguyen Kim Tien</t>
  </si>
  <si>
    <t>To Vu Luat</t>
  </si>
  <si>
    <t>000 Asistant</t>
  </si>
  <si>
    <t>16th Nov 1996</t>
  </si>
  <si>
    <t>4 Years</t>
  </si>
  <si>
    <t>"Making Small Thing In The Great Way."</t>
  </si>
  <si>
    <t>GROUP - 200 - Tu Anh</t>
  </si>
  <si>
    <t>Tu Anh.200</t>
  </si>
  <si>
    <t>Library &amp; Law</t>
  </si>
  <si>
    <t>Luu Thi Tu Anh</t>
  </si>
  <si>
    <t>05th Octorber 1985</t>
  </si>
  <si>
    <t>12 Years</t>
  </si>
  <si>
    <t>"If opportunity doesn’t knock, build a door."</t>
  </si>
  <si>
    <t>GROUP - 300 - Lien</t>
  </si>
  <si>
    <t>Lien.300</t>
  </si>
  <si>
    <t>Ngô Phương Liên</t>
  </si>
  <si>
    <t>Chef accounting</t>
  </si>
  <si>
    <t>&gt;20 Years</t>
  </si>
  <si>
    <t>"Hà Nội không vội được đâu"</t>
  </si>
  <si>
    <t>Accountant</t>
  </si>
  <si>
    <t>22/04/1985</t>
  </si>
  <si>
    <t>13 Years</t>
  </si>
  <si>
    <t>"Người chết chỉ thực sự là chết khi họ chết hẳn trong lòng người sống."</t>
  </si>
  <si>
    <t>Account</t>
  </si>
  <si>
    <t>Nguyen Thi Thuy</t>
  </si>
  <si>
    <t>1990</t>
  </si>
  <si>
    <t>"Ở mỗi giai đoạn của cuộc đời, chúng ta sẽ có những suy nghĩ khác nhau."</t>
  </si>
  <si>
    <t>Korean</t>
  </si>
  <si>
    <t>1 Years</t>
  </si>
  <si>
    <t>"Học trường tài chính, chuyên ngành MKT, nhưng lại đi làm phiên dịch tiếng Hàn"</t>
  </si>
  <si>
    <t>Nguyen Quynh Trang</t>
  </si>
  <si>
    <t>"Life is short, smile while you still have teeth"</t>
  </si>
  <si>
    <t>Human Resources</t>
  </si>
  <si>
    <t>24/08/2003</t>
  </si>
  <si>
    <t>2 years</t>
  </si>
  <si>
    <t>"You only live once, but if you do it right, once is enough"</t>
  </si>
  <si>
    <t>23/01/2003</t>
  </si>
  <si>
    <t>New job, new journey🥰</t>
  </si>
  <si>
    <t>Time</t>
  </si>
  <si>
    <t>Email Address</t>
  </si>
  <si>
    <t>Item</t>
  </si>
  <si>
    <t>ACCOUNT</t>
  </si>
  <si>
    <t>Trasfer ammount</t>
  </si>
  <si>
    <t>Calendar</t>
  </si>
  <si>
    <t>Timestamp</t>
  </si>
  <si>
    <t>"Want to buy something? "</t>
  </si>
  <si>
    <t>ACCOUNT - NGƯỜI THỤ HƯỞNG</t>
  </si>
  <si>
    <t>TRANSFER AMOUNT - SỐ LƯỢNG</t>
  </si>
  <si>
    <t xml:space="preserve">USING DATE - NGÀY SỬ DỤNG </t>
  </si>
  <si>
    <t>Transfer</t>
  </si>
  <si>
    <t>Transfer Hearts</t>
  </si>
  <si>
    <t>Name</t>
  </si>
  <si>
    <t>🎯</t>
  </si>
  <si>
    <r>
      <rPr>
        <rFont val="Arial"/>
        <color rgb="FF000000"/>
        <sz val="36.0"/>
      </rPr>
      <t xml:space="preserve">👑 </t>
    </r>
    <r>
      <rPr>
        <rFont val="Corsiva"/>
        <color rgb="FF000000"/>
        <sz val="24.0"/>
      </rPr>
      <t>Best Staff</t>
    </r>
    <r>
      <rPr>
        <rFont val="Arial"/>
        <color rgb="FF000000"/>
        <sz val="36.0"/>
      </rPr>
      <t xml:space="preserve"> 👑 </t>
    </r>
  </si>
  <si>
    <t>Value</t>
  </si>
  <si>
    <t>01 holiday - 5❤️️</t>
  </si>
  <si>
    <t>Help from leader - 5❤️️</t>
  </si>
  <si>
    <t>Company car in 8 hours - 10❤️️</t>
  </si>
  <si>
    <t>Help from Vice director - 15❤️️</t>
  </si>
  <si>
    <t>Company car 24 hours - 20❤️️</t>
  </si>
  <si>
    <t>Help from boss - 25❤️️</t>
  </si>
  <si>
    <t>Special Party - 30❤️️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</si>
</sst>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m/dd/yyyy"/>
    <numFmt numFmtId="165" formatCode="mmm"/>
    <numFmt numFmtId="166" formatCode="M/d/yyyy H:mm:ss"/>
    <numFmt numFmtId="167" formatCode="M/d/yyyy"/>
    <numFmt numFmtId="168" formatCode="m/d/yyyy h:mm:ss"/>
    <numFmt numFmtId="169" formatCode="dd/MM/yyyy H:mm:ss"/>
    <numFmt numFmtId="170" formatCode="m/d"/>
    <numFmt numFmtId="171" formatCode="dd&quot;/&quot;mm&quot;/&quot;yyyy"/>
    <numFmt numFmtId="172" formatCode="m/d/yyyy"/>
  </numFmts>
  <fonts count="58">
    <font>
      <sz val="10.0"/>
      <color rgb="FF000000"/>
      <name val="Arial"/>
      <scheme val="minor"/>
    </font>
    <font>
      <color rgb="FF000000"/>
      <name val="Arial"/>
      <scheme val="minor"/>
    </font>
    <font>
      <b/>
      <sz val="36.0"/>
      <color rgb="FF000000"/>
      <name val="Corsiva"/>
    </font>
    <font>
      <sz val="9.0"/>
      <color rgb="FF000000"/>
      <name val="Arial"/>
      <scheme val="minor"/>
    </font>
    <font/>
    <font>
      <b/>
      <color rgb="FF000000"/>
      <name val="Arial"/>
      <scheme val="minor"/>
    </font>
    <font>
      <color rgb="FF76A5AF"/>
      <name val="Arial"/>
      <scheme val="minor"/>
    </font>
    <font>
      <color rgb="FF93C47D"/>
      <name val="Arial"/>
      <scheme val="minor"/>
    </font>
    <font>
      <u/>
      <color rgb="FF000000"/>
    </font>
    <font>
      <color rgb="FF000000"/>
    </font>
    <font>
      <u/>
      <color rgb="FFEFC77F"/>
    </font>
    <font>
      <b/>
      <sz val="29.0"/>
      <color rgb="FFFFF2CC"/>
      <name val="Arial"/>
      <scheme val="minor"/>
    </font>
    <font>
      <b/>
      <sz val="29.0"/>
      <color rgb="FF000000"/>
      <name val="Arial"/>
      <scheme val="minor"/>
    </font>
    <font>
      <color rgb="FFFFF2CC"/>
      <name val="Arial"/>
      <scheme val="minor"/>
    </font>
    <font>
      <strike/>
      <color rgb="FF000000"/>
      <name val="Arial"/>
      <scheme val="minor"/>
    </font>
    <font>
      <b/>
      <u/>
      <sz val="11.0"/>
      <color rgb="FF000000"/>
    </font>
    <font>
      <sz val="11.0"/>
      <color rgb="FFFFF2CC"/>
      <name val="Arial"/>
      <scheme val="minor"/>
    </font>
    <font>
      <b/>
      <sz val="11.0"/>
      <color rgb="FFFFFFFF"/>
      <name val="Arial"/>
      <scheme val="minor"/>
    </font>
    <font>
      <sz val="7.0"/>
      <color rgb="FF000000"/>
      <name val="Arial"/>
      <scheme val="minor"/>
    </font>
    <font>
      <b/>
      <sz val="11.0"/>
      <color rgb="FF000000"/>
      <name val="Arial"/>
      <scheme val="minor"/>
    </font>
    <font>
      <color rgb="FFFFFFFF"/>
      <name val="Arial"/>
      <scheme val="minor"/>
    </font>
    <font>
      <b/>
      <color theme="1"/>
      <name val="Arial"/>
      <scheme val="minor"/>
    </font>
    <font>
      <sz val="11.0"/>
      <color rgb="FFFFF2CC"/>
      <name val="Arial"/>
    </font>
    <font>
      <b/>
      <sz val="11.0"/>
      <color rgb="FFFFF2CC"/>
      <name val="Arial"/>
      <scheme val="minor"/>
    </font>
    <font>
      <color rgb="FFAF5300"/>
      <name val="Arial"/>
      <scheme val="minor"/>
    </font>
    <font>
      <b/>
      <sz val="12.0"/>
      <color rgb="FFFFF2CC"/>
      <name val="Arial"/>
      <scheme val="minor"/>
    </font>
    <font>
      <b/>
      <sz val="11.0"/>
      <color rgb="FFD2C7A7"/>
      <name val="Arial"/>
      <scheme val="minor"/>
    </font>
    <font>
      <b/>
      <sz val="11.0"/>
      <color rgb="FFEFC77F"/>
      <name val="Arial"/>
      <scheme val="minor"/>
    </font>
    <font>
      <b/>
      <color rgb="FFD2C7A7"/>
      <name val="Arial"/>
      <scheme val="minor"/>
    </font>
    <font>
      <color rgb="FFD2C7A7"/>
      <name val="Arial"/>
      <scheme val="minor"/>
    </font>
    <font>
      <sz val="6.0"/>
      <color rgb="FF000000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FF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sz val="18.0"/>
      <color theme="1"/>
      <name val="Corsiva"/>
    </font>
    <font>
      <u/>
      <color rgb="FF0000FF"/>
    </font>
    <font>
      <u/>
      <color rgb="FF0000FF"/>
    </font>
    <font>
      <b/>
      <sz val="10.0"/>
      <color theme="1"/>
      <name val="Arial"/>
      <scheme val="minor"/>
    </font>
    <font>
      <b/>
      <sz val="14.0"/>
      <color rgb="FF000000"/>
      <name val="Arial"/>
      <scheme val="minor"/>
    </font>
    <font>
      <b/>
      <sz val="9.0"/>
      <color rgb="FFFFFFFF"/>
      <name val="Arial"/>
      <scheme val="minor"/>
    </font>
    <font>
      <b/>
      <sz val="9.0"/>
      <color rgb="FF000000"/>
      <name val="Arial"/>
      <scheme val="minor"/>
    </font>
    <font>
      <b/>
      <sz val="9.0"/>
      <color rgb="FFFFFFFF"/>
    </font>
    <font>
      <b/>
      <color rgb="FF000000"/>
      <name val="Arial"/>
    </font>
    <font>
      <b/>
      <color rgb="FFFFFFFF"/>
      <name val="Arial"/>
      <scheme val="minor"/>
    </font>
    <font>
      <color rgb="FF000000"/>
      <name val="Arial"/>
    </font>
    <font>
      <u/>
      <color rgb="FF000000"/>
      <name val="Arial"/>
    </font>
    <font>
      <sz val="11.0"/>
      <color rgb="FF000000"/>
      <name val="Inconsolata"/>
    </font>
    <font>
      <sz val="11.0"/>
      <color rgb="FF000000"/>
      <name val="Arial"/>
    </font>
    <font>
      <b/>
      <sz val="12.0"/>
      <color rgb="FF000000"/>
      <name val="Arial"/>
      <scheme val="minor"/>
    </font>
  </fonts>
  <fills count="3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4A86E8"/>
        <bgColor rgb="FF4A86E8"/>
      </patternFill>
    </fill>
    <fill>
      <patternFill patternType="solid">
        <fgColor rgb="FFEFC77F"/>
        <bgColor rgb="FFEFC77F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CFAD6F"/>
        <bgColor rgb="FFCFAD6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FD966"/>
        <bgColor rgb="FFFFD966"/>
      </patternFill>
    </fill>
    <fill>
      <patternFill patternType="solid">
        <fgColor rgb="FFFFD9A0"/>
        <bgColor rgb="FFFFD9A0"/>
      </patternFill>
    </fill>
    <fill>
      <patternFill patternType="solid">
        <fgColor rgb="FFD9D2E9"/>
        <bgColor rgb="FFD9D2E9"/>
      </patternFill>
    </fill>
    <fill>
      <patternFill patternType="solid">
        <fgColor rgb="FFCEC0F5"/>
        <bgColor rgb="FFCEC0F5"/>
      </patternFill>
    </fill>
    <fill>
      <patternFill patternType="solid">
        <fgColor rgb="FFBEB1E0"/>
        <bgColor rgb="FFBEB1E0"/>
      </patternFill>
    </fill>
    <fill>
      <patternFill patternType="solid">
        <fgColor rgb="FFA28EDD"/>
        <bgColor rgb="FFA28EDD"/>
      </patternFill>
    </fill>
    <fill>
      <patternFill patternType="solid">
        <fgColor rgb="FF8F7DC2"/>
        <bgColor rgb="FF8F7DC2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3C78D8"/>
        <bgColor rgb="FF3C78D8"/>
      </patternFill>
    </fill>
    <fill>
      <patternFill patternType="solid">
        <fgColor rgb="FFA4C2F4"/>
        <bgColor rgb="FFA4C2F4"/>
      </patternFill>
    </fill>
    <fill>
      <patternFill patternType="solid">
        <fgColor rgb="FFAF5300"/>
        <bgColor rgb="FFAF5300"/>
      </patternFill>
    </fill>
  </fills>
  <borders count="25">
    <border/>
    <border>
      <top style="thin">
        <color rgb="FFFFFFFF"/>
      </top>
    </border>
    <border>
      <right style="thin">
        <color rgb="FFFFFFFF"/>
      </righ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bottom style="thin">
        <color rgb="FFFFFFFF"/>
      </bottom>
    </border>
    <border>
      <top style="thin">
        <color rgb="FF000000"/>
      </top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3" fontId="1" numFmtId="0" xfId="0" applyFill="1" applyFont="1"/>
    <xf borderId="1" fillId="4" fontId="1" numFmtId="0" xfId="0" applyAlignment="1" applyBorder="1" applyFill="1" applyFont="1">
      <alignment horizontal="center" readingOrder="0"/>
    </xf>
    <xf borderId="1" fillId="0" fontId="4" numFmtId="0" xfId="0" applyBorder="1" applyFont="1"/>
    <xf borderId="0" fillId="5" fontId="1" numFmtId="0" xfId="0" applyFill="1" applyFont="1"/>
    <xf borderId="0" fillId="6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readingOrder="0" vertical="center"/>
    </xf>
    <xf borderId="0" fillId="6" fontId="1" numFmtId="0" xfId="0" applyAlignment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8" numFmtId="0" xfId="0" applyAlignment="1" applyFont="1">
      <alignment readingOrder="0"/>
    </xf>
    <xf borderId="0" fillId="9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 vertical="bottom"/>
    </xf>
    <xf borderId="0" fillId="4" fontId="9" numFmtId="0" xfId="0" applyAlignment="1" applyFont="1">
      <alignment horizontal="left" vertical="bottom"/>
    </xf>
    <xf borderId="0" fillId="4" fontId="1" numFmtId="0" xfId="0" applyAlignment="1" applyFont="1">
      <alignment horizontal="center"/>
    </xf>
    <xf borderId="0" fillId="10" fontId="1" numFmtId="0" xfId="0" applyAlignment="1" applyFill="1" applyFont="1">
      <alignment horizontal="center"/>
    </xf>
    <xf borderId="0" fillId="11" fontId="1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0" fillId="4" fontId="1" numFmtId="0" xfId="0" applyAlignment="1" applyFont="1">
      <alignment horizontal="center" readingOrder="0" vertical="center"/>
    </xf>
    <xf borderId="0" fillId="4" fontId="9" numFmtId="0" xfId="0" applyAlignment="1" applyFont="1">
      <alignment horizontal="left" vertical="center"/>
    </xf>
    <xf borderId="0" fillId="0" fontId="1" numFmtId="0" xfId="0" applyFont="1"/>
    <xf borderId="0" fillId="4" fontId="10" numFmtId="0" xfId="0" applyAlignment="1" applyFont="1">
      <alignment readingOrder="0"/>
    </xf>
    <xf borderId="0" fillId="11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" numFmtId="0" xfId="0" applyAlignment="1" applyFont="1">
      <alignment horizontal="center" readingOrder="0"/>
    </xf>
    <xf borderId="0" fillId="4" fontId="9" numFmtId="0" xfId="0" applyAlignment="1" applyFont="1">
      <alignment horizontal="left"/>
    </xf>
    <xf borderId="0" fillId="6" fontId="1" numFmtId="0" xfId="0" applyFont="1"/>
    <xf borderId="0" fillId="4" fontId="11" numFmtId="0" xfId="0" applyAlignment="1" applyFont="1">
      <alignment horizontal="center" readingOrder="0" vertical="center"/>
    </xf>
    <xf borderId="0" fillId="4" fontId="12" numFmtId="0" xfId="0" applyAlignment="1" applyFont="1">
      <alignment horizontal="center" readingOrder="0" vertical="center"/>
    </xf>
    <xf borderId="0" fillId="4" fontId="13" numFmtId="0" xfId="0" applyFont="1"/>
    <xf borderId="0" fillId="4" fontId="14" numFmtId="0" xfId="0" applyFont="1"/>
    <xf borderId="0" fillId="4" fontId="1" numFmtId="0" xfId="0" applyFont="1"/>
    <xf borderId="0" fillId="7" fontId="1" numFmtId="0" xfId="0" applyFont="1"/>
    <xf borderId="0" fillId="0" fontId="15" numFmtId="0" xfId="0" applyAlignment="1" applyFont="1">
      <alignment readingOrder="0"/>
    </xf>
    <xf borderId="0" fillId="11" fontId="16" numFmtId="0" xfId="0" applyAlignment="1" applyFont="1">
      <alignment horizontal="center" readingOrder="0"/>
    </xf>
    <xf borderId="0" fillId="4" fontId="17" numFmtId="0" xfId="0" applyAlignment="1" applyFont="1">
      <alignment readingOrder="0"/>
    </xf>
    <xf borderId="0" fillId="4" fontId="17" numFmtId="0" xfId="0" applyAlignment="1" applyFont="1">
      <alignment readingOrder="0" vertical="center"/>
    </xf>
    <xf borderId="0" fillId="4" fontId="5" numFmtId="0" xfId="0" applyAlignment="1" applyFont="1">
      <alignment horizontal="left" vertical="center"/>
    </xf>
    <xf borderId="0" fillId="11" fontId="5" numFmtId="0" xfId="0" applyAlignment="1" applyFont="1">
      <alignment horizontal="left"/>
    </xf>
    <xf borderId="0" fillId="12" fontId="1" numFmtId="0" xfId="0" applyFill="1" applyFont="1"/>
    <xf borderId="0" fillId="10" fontId="18" numFmtId="0" xfId="0" applyAlignment="1" applyFont="1">
      <alignment horizontal="center"/>
    </xf>
    <xf borderId="0" fillId="2" fontId="19" numFmtId="0" xfId="0" applyAlignment="1" applyFont="1">
      <alignment readingOrder="0"/>
    </xf>
    <xf borderId="0" fillId="4" fontId="20" numFmtId="0" xfId="0" applyFont="1"/>
    <xf borderId="0" fillId="4" fontId="21" numFmtId="0" xfId="0" applyFont="1"/>
    <xf borderId="0" fillId="4" fontId="16" numFmtId="0" xfId="0" applyAlignment="1" applyFont="1">
      <alignment horizontal="center" readingOrder="0"/>
    </xf>
    <xf borderId="0" fillId="4" fontId="17" numFmtId="0" xfId="0" applyAlignment="1" applyFont="1">
      <alignment horizontal="center" readingOrder="0" vertical="center"/>
    </xf>
    <xf borderId="0" fillId="4" fontId="5" numFmtId="0" xfId="0" applyAlignment="1" applyFont="1">
      <alignment horizontal="left"/>
    </xf>
    <xf borderId="0" fillId="13" fontId="1" numFmtId="0" xfId="0" applyFill="1" applyFont="1"/>
    <xf borderId="0" fillId="4" fontId="13" numFmtId="0" xfId="0" applyAlignment="1" applyFont="1">
      <alignment horizontal="center" readingOrder="0"/>
    </xf>
    <xf borderId="0" fillId="4" fontId="5" numFmtId="164" xfId="0" applyAlignment="1" applyFont="1" applyNumberFormat="1">
      <alignment horizontal="left" vertical="center"/>
    </xf>
    <xf borderId="0" fillId="2" fontId="19" numFmtId="0" xfId="0" applyAlignment="1" applyFont="1">
      <alignment readingOrder="0" vertical="top"/>
    </xf>
    <xf borderId="0" fillId="4" fontId="22" numFmtId="0" xfId="0" applyAlignment="1" applyFont="1">
      <alignment horizontal="center" readingOrder="0"/>
    </xf>
    <xf borderId="0" fillId="4" fontId="17" numFmtId="0" xfId="0" applyAlignment="1" applyFont="1">
      <alignment horizontal="left" readingOrder="0"/>
    </xf>
    <xf borderId="0" fillId="4" fontId="17" numFmtId="0" xfId="0" applyAlignment="1" applyFont="1">
      <alignment horizontal="left" readingOrder="0" vertical="top"/>
    </xf>
    <xf borderId="0" fillId="4" fontId="17" numFmtId="0" xfId="0" applyAlignment="1" applyFont="1">
      <alignment horizontal="center" readingOrder="0" vertical="bottom"/>
    </xf>
    <xf borderId="0" fillId="4" fontId="5" numFmtId="0" xfId="0" applyAlignment="1" applyFont="1">
      <alignment horizontal="left" shrinkToFit="0" vertical="top" wrapText="1"/>
    </xf>
    <xf borderId="0" fillId="4" fontId="23" numFmtId="0" xfId="0" applyAlignment="1" applyFont="1">
      <alignment horizontal="left" readingOrder="0" vertical="top"/>
    </xf>
    <xf borderId="0" fillId="4" fontId="24" numFmtId="0" xfId="0" applyFont="1"/>
    <xf borderId="0" fillId="4" fontId="25" numFmtId="0" xfId="0" applyAlignment="1" applyFont="1">
      <alignment horizontal="right" readingOrder="0"/>
    </xf>
    <xf borderId="0" fillId="4" fontId="17" numFmtId="0" xfId="0" applyAlignment="1" applyFont="1">
      <alignment horizontal="center" readingOrder="0"/>
    </xf>
    <xf borderId="0" fillId="4" fontId="5" numFmtId="0" xfId="0" applyAlignment="1" applyFont="1">
      <alignment horizontal="left" vertical="top"/>
    </xf>
    <xf borderId="0" fillId="11" fontId="26" numFmtId="0" xfId="0" applyAlignment="1" applyFont="1">
      <alignment horizontal="right" readingOrder="0"/>
    </xf>
    <xf borderId="0" fillId="4" fontId="27" numFmtId="0" xfId="0" applyAlignment="1" applyFont="1">
      <alignment readingOrder="0"/>
    </xf>
    <xf borderId="0" fillId="4" fontId="28" numFmtId="0" xfId="0" applyAlignment="1" applyFont="1">
      <alignment readingOrder="0"/>
    </xf>
    <xf borderId="0" fillId="4" fontId="29" numFmtId="0" xfId="0" applyFont="1"/>
    <xf borderId="0" fillId="11" fontId="1" numFmtId="0" xfId="0" applyFont="1"/>
    <xf borderId="0" fillId="4" fontId="29" numFmtId="0" xfId="0" applyAlignment="1" applyFont="1">
      <alignment readingOrder="0"/>
    </xf>
    <xf borderId="0" fillId="4" fontId="1" numFmtId="0" xfId="0" applyAlignment="1" applyFont="1">
      <alignment horizontal="left"/>
    </xf>
    <xf borderId="0" fillId="5" fontId="30" numFmtId="0" xfId="0" applyAlignment="1" applyFont="1">
      <alignment horizontal="center" readingOrder="0"/>
    </xf>
    <xf borderId="0" fillId="7" fontId="31" numFmtId="0" xfId="0" applyAlignment="1" applyFont="1">
      <alignment horizontal="left" readingOrder="0"/>
    </xf>
    <xf borderId="0" fillId="5" fontId="31" numFmtId="0" xfId="0" applyAlignment="1" applyFont="1">
      <alignment horizontal="left" readingOrder="0"/>
    </xf>
    <xf borderId="0" fillId="7" fontId="1" numFmtId="0" xfId="0" applyAlignment="1" applyFont="1">
      <alignment horizontal="center"/>
    </xf>
    <xf borderId="0" fillId="6" fontId="1" numFmtId="0" xfId="0" applyAlignment="1" applyFont="1">
      <alignment horizontal="center"/>
    </xf>
    <xf borderId="0" fillId="2" fontId="18" numFmtId="0" xfId="0" applyAlignment="1" applyFont="1">
      <alignment horizontal="center"/>
    </xf>
    <xf borderId="0" fillId="12" fontId="1" numFmtId="0" xfId="0" applyAlignment="1" applyFont="1">
      <alignment horizontal="center"/>
    </xf>
    <xf borderId="0" fillId="13" fontId="1" numFmtId="0" xfId="0" applyAlignment="1" applyFont="1">
      <alignment horizontal="center"/>
    </xf>
    <xf borderId="0" fillId="5" fontId="1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2" fontId="32" numFmtId="0" xfId="0" applyFont="1"/>
    <xf borderId="0" fillId="2" fontId="31" numFmtId="0" xfId="0" applyAlignment="1" applyFont="1">
      <alignment horizontal="left" readingOrder="0"/>
    </xf>
    <xf borderId="0" fillId="4" fontId="32" numFmtId="0" xfId="0" applyFont="1"/>
    <xf borderId="0" fillId="10" fontId="33" numFmtId="0" xfId="0" applyAlignment="1" applyFont="1">
      <alignment vertical="bottom"/>
    </xf>
    <xf borderId="0" fillId="4" fontId="33" numFmtId="0" xfId="0" applyAlignment="1" applyFont="1">
      <alignment vertical="bottom"/>
    </xf>
    <xf borderId="0" fillId="10" fontId="33" numFmtId="0" xfId="0" applyAlignment="1" applyFont="1">
      <alignment horizontal="center" vertical="bottom"/>
    </xf>
    <xf borderId="0" fillId="0" fontId="33" numFmtId="0" xfId="0" applyAlignment="1" applyFont="1">
      <alignment vertical="bottom"/>
    </xf>
    <xf borderId="0" fillId="6" fontId="33" numFmtId="0" xfId="0" applyAlignment="1" applyFont="1">
      <alignment vertical="bottom"/>
    </xf>
    <xf borderId="0" fillId="6" fontId="34" numFmtId="0" xfId="0" applyAlignment="1" applyFont="1">
      <alignment horizontal="center" vertical="bottom"/>
    </xf>
    <xf borderId="0" fillId="10" fontId="33" numFmtId="0" xfId="0" applyAlignment="1" applyFont="1">
      <alignment vertical="bottom"/>
    </xf>
    <xf borderId="0" fillId="2" fontId="34" numFmtId="0" xfId="0" applyAlignment="1" applyFont="1">
      <alignment horizontal="center" shrinkToFit="0" wrapText="1"/>
    </xf>
    <xf borderId="0" fillId="2" fontId="35" numFmtId="0" xfId="0" applyAlignment="1" applyFont="1">
      <alignment horizontal="right"/>
    </xf>
    <xf borderId="0" fillId="0" fontId="33" numFmtId="165" xfId="0" applyAlignment="1" applyFont="1" applyNumberFormat="1">
      <alignment horizontal="center" vertical="bottom"/>
    </xf>
    <xf borderId="0" fillId="2" fontId="33" numFmtId="0" xfId="0" applyFont="1"/>
    <xf borderId="0" fillId="2" fontId="34" numFmtId="0" xfId="0" applyAlignment="1" applyFont="1">
      <alignment horizontal="center"/>
    </xf>
    <xf borderId="0" fillId="2" fontId="34" numFmtId="165" xfId="0" applyAlignment="1" applyFont="1" applyNumberFormat="1">
      <alignment horizontal="center" vertical="bottom"/>
    </xf>
    <xf borderId="0" fillId="10" fontId="33" numFmtId="0" xfId="0" applyFont="1"/>
    <xf borderId="0" fillId="4" fontId="33" numFmtId="0" xfId="0" applyAlignment="1" applyFont="1">
      <alignment vertical="bottom"/>
    </xf>
    <xf borderId="0" fillId="14" fontId="33" numFmtId="0" xfId="0" applyAlignment="1" applyFill="1" applyFont="1">
      <alignment horizontal="center"/>
    </xf>
    <xf borderId="0" fillId="14" fontId="33" numFmtId="0" xfId="0" applyAlignment="1" applyFont="1">
      <alignment vertical="bottom"/>
    </xf>
    <xf borderId="0" fillId="14" fontId="36" numFmtId="0" xfId="0" applyAlignment="1" applyFont="1">
      <alignment vertical="bottom"/>
    </xf>
    <xf borderId="0" fillId="14" fontId="33" numFmtId="0" xfId="0" applyAlignment="1" applyFont="1">
      <alignment horizontal="center" vertical="bottom"/>
    </xf>
    <xf borderId="0" fillId="14" fontId="34" numFmtId="0" xfId="0" applyAlignment="1" applyFont="1">
      <alignment horizontal="center" vertical="bottom"/>
    </xf>
    <xf borderId="0" fillId="9" fontId="33" numFmtId="0" xfId="0" applyAlignment="1" applyFont="1">
      <alignment horizontal="center"/>
    </xf>
    <xf borderId="0" fillId="9" fontId="33" numFmtId="0" xfId="0" applyAlignment="1" applyFont="1">
      <alignment vertical="bottom"/>
    </xf>
    <xf borderId="0" fillId="9" fontId="37" numFmtId="0" xfId="0" applyAlignment="1" applyFont="1">
      <alignment vertical="bottom"/>
    </xf>
    <xf borderId="0" fillId="9" fontId="33" numFmtId="0" xfId="0" applyAlignment="1" applyFont="1">
      <alignment horizontal="center" vertical="bottom"/>
    </xf>
    <xf borderId="0" fillId="9" fontId="33" numFmtId="0" xfId="0" applyAlignment="1" applyFont="1">
      <alignment vertical="bottom"/>
    </xf>
    <xf borderId="0" fillId="9" fontId="34" numFmtId="0" xfId="0" applyAlignment="1" applyFont="1">
      <alignment horizontal="center" vertical="bottom"/>
    </xf>
    <xf borderId="0" fillId="6" fontId="33" numFmtId="0" xfId="0" applyAlignment="1" applyFont="1">
      <alignment horizontal="center"/>
    </xf>
    <xf borderId="0" fillId="6" fontId="38" numFmtId="0" xfId="0" applyAlignment="1" applyFont="1">
      <alignment vertical="bottom"/>
    </xf>
    <xf borderId="0" fillId="6" fontId="33" numFmtId="0" xfId="0" applyAlignment="1" applyFont="1">
      <alignment horizontal="center" vertical="bottom"/>
    </xf>
    <xf borderId="0" fillId="6" fontId="34" numFmtId="0" xfId="0" applyAlignment="1" applyFont="1">
      <alignment horizontal="center" vertical="bottom"/>
    </xf>
    <xf borderId="0" fillId="15" fontId="33" numFmtId="0" xfId="0" applyAlignment="1" applyFill="1" applyFont="1">
      <alignment vertical="bottom"/>
    </xf>
    <xf borderId="0" fillId="15" fontId="33" numFmtId="0" xfId="0" applyAlignment="1" applyFont="1">
      <alignment vertical="bottom"/>
    </xf>
    <xf borderId="0" fillId="16" fontId="33" numFmtId="0" xfId="0" applyAlignment="1" applyFill="1" applyFont="1">
      <alignment vertical="bottom"/>
    </xf>
    <xf borderId="0" fillId="16" fontId="34" numFmtId="0" xfId="0" applyAlignment="1" applyFont="1">
      <alignment horizontal="center" vertical="bottom"/>
    </xf>
    <xf borderId="2" fillId="0" fontId="4" numFmtId="0" xfId="0" applyBorder="1" applyFont="1"/>
    <xf borderId="0" fillId="2" fontId="33" numFmtId="0" xfId="0" applyAlignment="1" applyFont="1">
      <alignment horizontal="right"/>
    </xf>
    <xf borderId="0" fillId="2" fontId="33" numFmtId="0" xfId="0" applyFont="1"/>
    <xf borderId="0" fillId="2" fontId="33" numFmtId="166" xfId="0" applyAlignment="1" applyFont="1" applyNumberFormat="1">
      <alignment horizontal="center" vertical="bottom"/>
    </xf>
    <xf borderId="0" fillId="2" fontId="34" numFmtId="167" xfId="0" applyAlignment="1" applyFont="1" applyNumberFormat="1">
      <alignment horizontal="center" vertical="bottom"/>
    </xf>
    <xf borderId="1" fillId="10" fontId="33" numFmtId="0" xfId="0" applyAlignment="1" applyBorder="1" applyFont="1">
      <alignment vertical="bottom"/>
    </xf>
    <xf borderId="1" fillId="17" fontId="33" numFmtId="0" xfId="0" applyAlignment="1" applyBorder="1" applyFill="1" applyFont="1">
      <alignment vertical="bottom"/>
    </xf>
    <xf borderId="1" fillId="17" fontId="33" numFmtId="0" xfId="0" applyBorder="1" applyFont="1"/>
    <xf borderId="1" fillId="17" fontId="34" numFmtId="0" xfId="0" applyAlignment="1" applyBorder="1" applyFont="1">
      <alignment horizontal="center"/>
    </xf>
    <xf borderId="1" fillId="17" fontId="33" numFmtId="0" xfId="0" applyBorder="1" applyFont="1"/>
    <xf borderId="3" fillId="17" fontId="34" numFmtId="165" xfId="0" applyAlignment="1" applyBorder="1" applyFont="1" applyNumberFormat="1">
      <alignment horizontal="center" vertical="bottom"/>
    </xf>
    <xf borderId="4" fillId="0" fontId="4" numFmtId="0" xfId="0" applyBorder="1" applyFont="1"/>
    <xf borderId="5" fillId="17" fontId="33" numFmtId="0" xfId="0" applyAlignment="1" applyBorder="1" applyFont="1">
      <alignment vertical="bottom"/>
    </xf>
    <xf borderId="3" fillId="17" fontId="34" numFmtId="0" xfId="0" applyAlignment="1" applyBorder="1" applyFont="1">
      <alignment horizontal="center"/>
    </xf>
    <xf borderId="5" fillId="0" fontId="4" numFmtId="0" xfId="0" applyBorder="1" applyFont="1"/>
    <xf borderId="0" fillId="17" fontId="33" numFmtId="0" xfId="0" applyAlignment="1" applyFont="1">
      <alignment vertical="bottom"/>
    </xf>
    <xf borderId="0" fillId="17" fontId="33" numFmtId="0" xfId="0" applyFont="1"/>
    <xf borderId="0" fillId="17" fontId="34" numFmtId="0" xfId="0" applyAlignment="1" applyFont="1">
      <alignment horizontal="center"/>
    </xf>
    <xf borderId="6" fillId="17" fontId="33" numFmtId="49" xfId="0" applyAlignment="1" applyBorder="1" applyFont="1" applyNumberFormat="1">
      <alignment vertical="bottom"/>
    </xf>
    <xf borderId="2" fillId="17" fontId="33" numFmtId="0" xfId="0" applyAlignment="1" applyBorder="1" applyFont="1">
      <alignment vertical="bottom"/>
    </xf>
    <xf borderId="0" fillId="17" fontId="33" numFmtId="0" xfId="0" applyAlignment="1" applyFont="1">
      <alignment vertical="bottom"/>
    </xf>
    <xf borderId="6" fillId="17" fontId="34" numFmtId="49" xfId="0" applyAlignment="1" applyBorder="1" applyFont="1" applyNumberFormat="1">
      <alignment horizontal="center" vertical="bottom"/>
    </xf>
    <xf borderId="2" fillId="17" fontId="34" numFmtId="0" xfId="0" applyAlignment="1" applyBorder="1" applyFont="1">
      <alignment horizontal="center" vertical="bottom"/>
    </xf>
    <xf borderId="0" fillId="17" fontId="34" numFmtId="0" xfId="0" applyAlignment="1" applyFont="1">
      <alignment horizontal="center" vertical="bottom"/>
    </xf>
    <xf borderId="0" fillId="18" fontId="33" numFmtId="0" xfId="0" applyAlignment="1" applyFill="1" applyFont="1">
      <alignment vertical="bottom"/>
    </xf>
    <xf borderId="0" fillId="18" fontId="33" numFmtId="0" xfId="0" applyAlignment="1" applyFont="1">
      <alignment horizontal="center"/>
    </xf>
    <xf borderId="0" fillId="18" fontId="33" numFmtId="0" xfId="0" applyAlignment="1" applyFont="1">
      <alignment vertical="bottom"/>
    </xf>
    <xf borderId="0" fillId="18" fontId="39" numFmtId="0" xfId="0" applyAlignment="1" applyFont="1">
      <alignment vertical="bottom"/>
    </xf>
    <xf borderId="6" fillId="18" fontId="33" numFmtId="0" xfId="0" applyAlignment="1" applyBorder="1" applyFont="1">
      <alignment horizontal="center" vertical="bottom"/>
    </xf>
    <xf borderId="2" fillId="18" fontId="33" numFmtId="0" xfId="0" applyAlignment="1" applyBorder="1" applyFont="1">
      <alignment horizontal="center" vertical="bottom"/>
    </xf>
    <xf borderId="0" fillId="18" fontId="34" numFmtId="0" xfId="0" applyAlignment="1" applyFont="1">
      <alignment horizontal="center" vertical="bottom"/>
    </xf>
    <xf borderId="2" fillId="18" fontId="34" numFmtId="0" xfId="0" applyAlignment="1" applyBorder="1" applyFont="1">
      <alignment horizontal="center" vertical="bottom"/>
    </xf>
    <xf borderId="0" fillId="18" fontId="33" numFmtId="0" xfId="0" applyFont="1"/>
    <xf borderId="0" fillId="19" fontId="33" numFmtId="0" xfId="0" applyAlignment="1" applyFill="1" applyFont="1">
      <alignment vertical="bottom"/>
    </xf>
    <xf borderId="0" fillId="19" fontId="33" numFmtId="0" xfId="0" applyAlignment="1" applyFont="1">
      <alignment horizontal="center"/>
    </xf>
    <xf borderId="0" fillId="19" fontId="33" numFmtId="0" xfId="0" applyAlignment="1" applyFont="1">
      <alignment vertical="bottom"/>
    </xf>
    <xf borderId="0" fillId="19" fontId="40" numFmtId="0" xfId="0" applyAlignment="1" applyFont="1">
      <alignment vertical="bottom"/>
    </xf>
    <xf borderId="6" fillId="19" fontId="33" numFmtId="0" xfId="0" applyAlignment="1" applyBorder="1" applyFont="1">
      <alignment horizontal="center" vertical="bottom"/>
    </xf>
    <xf borderId="2" fillId="19" fontId="33" numFmtId="0" xfId="0" applyAlignment="1" applyBorder="1" applyFont="1">
      <alignment horizontal="center" vertical="bottom"/>
    </xf>
    <xf borderId="0" fillId="19" fontId="34" numFmtId="0" xfId="0" applyAlignment="1" applyFont="1">
      <alignment horizontal="center" vertical="bottom"/>
    </xf>
    <xf borderId="2" fillId="19" fontId="34" numFmtId="0" xfId="0" applyAlignment="1" applyBorder="1" applyFont="1">
      <alignment horizontal="center" vertical="bottom"/>
    </xf>
    <xf borderId="6" fillId="19" fontId="33" numFmtId="0" xfId="0" applyAlignment="1" applyBorder="1" applyFont="1">
      <alignment vertical="bottom"/>
    </xf>
    <xf borderId="2" fillId="19" fontId="33" numFmtId="0" xfId="0" applyAlignment="1" applyBorder="1" applyFont="1">
      <alignment vertical="bottom"/>
    </xf>
    <xf borderId="0" fillId="20" fontId="33" numFmtId="0" xfId="0" applyAlignment="1" applyFill="1" applyFont="1">
      <alignment vertical="bottom"/>
    </xf>
    <xf borderId="0" fillId="20" fontId="33" numFmtId="0" xfId="0" applyAlignment="1" applyFont="1">
      <alignment horizontal="center"/>
    </xf>
    <xf borderId="0" fillId="20" fontId="33" numFmtId="0" xfId="0" applyAlignment="1" applyFont="1">
      <alignment vertical="bottom"/>
    </xf>
    <xf borderId="0" fillId="20" fontId="41" numFmtId="0" xfId="0" applyAlignment="1" applyFont="1">
      <alignment vertical="bottom"/>
    </xf>
    <xf borderId="6" fillId="20" fontId="33" numFmtId="0" xfId="0" applyAlignment="1" applyBorder="1" applyFont="1">
      <alignment horizontal="center" vertical="bottom"/>
    </xf>
    <xf borderId="2" fillId="20" fontId="33" numFmtId="0" xfId="0" applyAlignment="1" applyBorder="1" applyFont="1">
      <alignment horizontal="center" vertical="bottom"/>
    </xf>
    <xf borderId="0" fillId="20" fontId="34" numFmtId="0" xfId="0" applyAlignment="1" applyFont="1">
      <alignment horizontal="center" vertical="bottom"/>
    </xf>
    <xf borderId="2" fillId="20" fontId="34" numFmtId="0" xfId="0" applyAlignment="1" applyBorder="1" applyFont="1">
      <alignment horizontal="center" vertical="bottom"/>
    </xf>
    <xf borderId="0" fillId="20" fontId="33" numFmtId="0" xfId="0" applyAlignment="1" applyFont="1">
      <alignment horizontal="right" vertical="bottom"/>
    </xf>
    <xf borderId="7" fillId="0" fontId="4" numFmtId="0" xfId="0" applyBorder="1" applyFont="1"/>
    <xf borderId="7" fillId="20" fontId="33" numFmtId="0" xfId="0" applyAlignment="1" applyBorder="1" applyFont="1">
      <alignment vertical="bottom"/>
    </xf>
    <xf borderId="7" fillId="20" fontId="42" numFmtId="0" xfId="0" applyAlignment="1" applyBorder="1" applyFont="1">
      <alignment vertical="bottom"/>
    </xf>
    <xf borderId="0" fillId="4" fontId="33" numFmtId="0" xfId="0" applyFont="1"/>
    <xf borderId="0" fillId="15" fontId="33" numFmtId="0" xfId="0" applyFont="1"/>
    <xf borderId="0" fillId="15" fontId="43" numFmtId="0" xfId="0" applyAlignment="1" applyFont="1">
      <alignment horizontal="center"/>
    </xf>
    <xf borderId="0" fillId="15" fontId="33" numFmtId="0" xfId="0" applyFont="1"/>
    <xf borderId="8" fillId="15" fontId="33" numFmtId="0" xfId="0" applyAlignment="1" applyBorder="1" applyFont="1">
      <alignment vertical="bottom"/>
    </xf>
    <xf borderId="0" fillId="10" fontId="32" numFmtId="0" xfId="0" applyFont="1"/>
    <xf borderId="0" fillId="4" fontId="32" numFmtId="0" xfId="0" applyAlignment="1" applyFont="1">
      <alignment horizontal="center" readingOrder="0" vertical="center"/>
    </xf>
    <xf borderId="0" fillId="4" fontId="32" numFmtId="0" xfId="0" applyAlignment="1" applyFont="1">
      <alignment readingOrder="0"/>
    </xf>
    <xf borderId="0" fillId="4" fontId="1" numFmtId="0" xfId="0" applyAlignment="1" applyFont="1">
      <alignment readingOrder="0"/>
    </xf>
    <xf borderId="0" fillId="4" fontId="32" numFmtId="0" xfId="0" applyAlignment="1" applyFont="1">
      <alignment horizontal="center"/>
    </xf>
    <xf borderId="0" fillId="15" fontId="5" numFmtId="0" xfId="0" applyAlignment="1" applyFont="1">
      <alignment horizontal="center" readingOrder="0" vertical="center"/>
    </xf>
    <xf borderId="8" fillId="15" fontId="32" numFmtId="0" xfId="0" applyAlignment="1" applyBorder="1" applyFont="1">
      <alignment readingOrder="0"/>
    </xf>
    <xf borderId="8" fillId="15" fontId="32" numFmtId="0" xfId="0" applyBorder="1" applyFont="1"/>
    <xf borderId="0" fillId="15" fontId="32" numFmtId="0" xfId="0" applyFont="1"/>
    <xf borderId="0" fillId="4" fontId="21" numFmtId="0" xfId="0" applyAlignment="1" applyFont="1">
      <alignment horizontal="center"/>
    </xf>
    <xf borderId="0" fillId="6" fontId="21" numFmtId="49" xfId="0" applyAlignment="1" applyFont="1" applyNumberFormat="1">
      <alignment horizontal="center" readingOrder="0" vertical="center"/>
    </xf>
    <xf borderId="0" fillId="6" fontId="21" numFmtId="0" xfId="0" applyAlignment="1" applyFont="1">
      <alignment horizontal="center" readingOrder="0" vertical="center"/>
    </xf>
    <xf borderId="0" fillId="5" fontId="21" numFmtId="49" xfId="0" applyAlignment="1" applyFont="1" applyNumberFormat="1">
      <alignment horizontal="center" shrinkToFit="0" vertical="center" wrapText="1"/>
    </xf>
    <xf borderId="0" fillId="5" fontId="21" numFmtId="166" xfId="0" applyAlignment="1" applyFont="1" applyNumberFormat="1">
      <alignment horizontal="center" readingOrder="0" shrinkToFit="0" vertical="center" wrapText="1"/>
    </xf>
    <xf borderId="0" fillId="5" fontId="21" numFmtId="0" xfId="0" applyAlignment="1" applyFont="1">
      <alignment horizontal="center" readingOrder="0" shrinkToFit="0" vertical="center" wrapText="1"/>
    </xf>
    <xf borderId="0" fillId="0" fontId="32" numFmtId="49" xfId="0" applyAlignment="1" applyFont="1" applyNumberFormat="1">
      <alignment readingOrder="0"/>
    </xf>
    <xf borderId="0" fillId="0" fontId="32" numFmtId="166" xfId="0" applyFont="1" applyNumberFormat="1"/>
    <xf borderId="0" fillId="0" fontId="32" numFmtId="0" xfId="0" applyFont="1"/>
    <xf borderId="0" fillId="0" fontId="1" numFmtId="49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4" numFmtId="0" xfId="0" applyFont="1"/>
    <xf borderId="0" fillId="0" fontId="32" numFmtId="168" xfId="0" applyAlignment="1" applyFont="1" applyNumberFormat="1">
      <alignment horizontal="right" readingOrder="0"/>
    </xf>
    <xf borderId="0" fillId="0" fontId="32" numFmtId="0" xfId="0" applyAlignment="1" applyFont="1">
      <alignment horizontal="center"/>
    </xf>
    <xf borderId="0" fillId="0" fontId="32" numFmtId="0" xfId="0" applyAlignment="1" applyFont="1">
      <alignment horizontal="center" readingOrder="0" vertical="center"/>
    </xf>
    <xf borderId="0" fillId="0" fontId="32" numFmtId="0" xfId="0" applyAlignment="1" applyFont="1">
      <alignment horizontal="left" readingOrder="0" vertical="center"/>
    </xf>
    <xf borderId="0" fillId="0" fontId="32" numFmtId="0" xfId="0" applyAlignment="1" applyFont="1">
      <alignment horizontal="center" vertical="center"/>
    </xf>
    <xf borderId="0" fillId="0" fontId="32" numFmtId="49" xfId="0" applyAlignment="1" applyFont="1" applyNumberFormat="1">
      <alignment horizontal="right" readingOrder="0" vertical="center"/>
    </xf>
    <xf borderId="0" fillId="0" fontId="32" numFmtId="166" xfId="0" applyAlignment="1" applyFont="1" applyNumberFormat="1">
      <alignment horizontal="right"/>
    </xf>
    <xf borderId="0" fillId="0" fontId="32" numFmtId="0" xfId="0" applyAlignment="1" applyFont="1">
      <alignment shrinkToFit="0" wrapText="1"/>
    </xf>
    <xf borderId="0" fillId="0" fontId="32" numFmtId="0" xfId="0" applyAlignment="1" applyFont="1">
      <alignment horizontal="center" shrinkToFit="0" wrapText="0"/>
    </xf>
    <xf borderId="0" fillId="0" fontId="32" numFmtId="0" xfId="0" applyAlignment="1" applyFont="1">
      <alignment shrinkToFit="0" wrapText="0"/>
    </xf>
    <xf borderId="0" fillId="2" fontId="32" numFmtId="166" xfId="0" applyAlignment="1" applyFont="1" applyNumberFormat="1">
      <alignment horizontal="right"/>
    </xf>
    <xf borderId="0" fillId="2" fontId="32" numFmtId="0" xfId="0" applyAlignment="1" applyFont="1">
      <alignment shrinkToFit="0" wrapText="1"/>
    </xf>
    <xf borderId="0" fillId="2" fontId="32" numFmtId="0" xfId="0" applyAlignment="1" applyFont="1">
      <alignment horizontal="center" shrinkToFit="0" wrapText="0"/>
    </xf>
    <xf borderId="0" fillId="2" fontId="32" numFmtId="0" xfId="0" applyAlignment="1" applyFont="1">
      <alignment shrinkToFit="0" wrapText="0"/>
    </xf>
    <xf borderId="0" fillId="2" fontId="32" numFmtId="0" xfId="0" applyAlignment="1" applyFont="1">
      <alignment horizontal="center" readingOrder="0" shrinkToFit="0" wrapText="0"/>
    </xf>
    <xf borderId="0" fillId="2" fontId="32" numFmtId="49" xfId="0" applyFont="1" applyNumberFormat="1"/>
    <xf borderId="0" fillId="6" fontId="21" numFmtId="0" xfId="0" applyAlignment="1" applyFont="1">
      <alignment horizontal="center" readingOrder="0"/>
    </xf>
    <xf borderId="0" fillId="5" fontId="21" numFmtId="0" xfId="0" applyAlignment="1" applyFont="1">
      <alignment horizontal="center" vertical="center"/>
    </xf>
    <xf borderId="0" fillId="5" fontId="21" numFmtId="0" xfId="0" applyAlignment="1" applyFont="1">
      <alignment horizontal="center" readingOrder="0" vertical="center"/>
    </xf>
    <xf borderId="0" fillId="5" fontId="21" numFmtId="0" xfId="0" applyAlignment="1" applyFont="1">
      <alignment horizontal="center" readingOrder="0" shrinkToFit="0" vertical="center" wrapText="0"/>
    </xf>
    <xf borderId="0" fillId="0" fontId="32" numFmtId="168" xfId="0" applyAlignment="1" applyFont="1" applyNumberFormat="1">
      <alignment readingOrder="0"/>
    </xf>
    <xf borderId="0" fillId="2" fontId="32" numFmtId="168" xfId="0" applyAlignment="1" applyFont="1" applyNumberFormat="1">
      <alignment readingOrder="0"/>
    </xf>
    <xf borderId="0" fillId="2" fontId="32" numFmtId="0" xfId="0" applyAlignment="1" applyFont="1">
      <alignment readingOrder="0"/>
    </xf>
    <xf borderId="0" fillId="2" fontId="32" numFmtId="0" xfId="0" applyAlignment="1" applyFont="1">
      <alignment readingOrder="0" shrinkToFit="0" wrapText="1"/>
    </xf>
    <xf borderId="0" fillId="6" fontId="21" numFmtId="0" xfId="0" applyAlignment="1" applyFont="1">
      <alignment horizontal="center" readingOrder="0" vertical="center"/>
    </xf>
    <xf borderId="0" fillId="5" fontId="32" numFmtId="0" xfId="0" applyAlignment="1" applyFont="1">
      <alignment horizontal="center" readingOrder="0" vertical="center"/>
    </xf>
    <xf borderId="0" fillId="0" fontId="32" numFmtId="168" xfId="0" applyAlignment="1" applyFont="1" applyNumberFormat="1">
      <alignment readingOrder="0" vertical="center"/>
    </xf>
    <xf borderId="0" fillId="0" fontId="32" numFmtId="0" xfId="0" applyAlignment="1" applyFont="1">
      <alignment readingOrder="0" vertical="center"/>
    </xf>
    <xf borderId="0" fillId="0" fontId="32" numFmtId="0" xfId="0" applyAlignment="1" applyFont="1">
      <alignment readingOrder="0" shrinkToFit="0" vertical="center" wrapText="1"/>
    </xf>
    <xf borderId="0" fillId="0" fontId="32" numFmtId="0" xfId="0" applyAlignment="1" applyFont="1">
      <alignment vertical="center"/>
    </xf>
    <xf borderId="0" fillId="0" fontId="32" numFmtId="169" xfId="0" applyAlignment="1" applyFont="1" applyNumberFormat="1">
      <alignment readingOrder="0"/>
    </xf>
    <xf borderId="0" fillId="2" fontId="32" numFmtId="168" xfId="0" applyAlignment="1" applyFont="1" applyNumberFormat="1">
      <alignment readingOrder="0" vertical="center"/>
    </xf>
    <xf borderId="0" fillId="2" fontId="32" numFmtId="0" xfId="0" applyAlignment="1" applyFont="1">
      <alignment readingOrder="0" vertical="center"/>
    </xf>
    <xf borderId="0" fillId="2" fontId="32" numFmtId="0" xfId="0" applyAlignment="1" applyFont="1">
      <alignment readingOrder="0" shrinkToFit="0" vertical="center" wrapText="1"/>
    </xf>
    <xf borderId="0" fillId="2" fontId="32" numFmtId="0" xfId="0" applyAlignment="1" applyFont="1">
      <alignment horizontal="center" readingOrder="0" shrinkToFit="0" vertical="center" wrapText="0"/>
    </xf>
    <xf borderId="0" fillId="2" fontId="32" numFmtId="0" xfId="0" applyAlignment="1" applyFont="1">
      <alignment shrinkToFit="0" vertical="center" wrapText="0"/>
    </xf>
    <xf borderId="0" fillId="2" fontId="32" numFmtId="0" xfId="0" applyAlignment="1" applyFont="1">
      <alignment vertical="center"/>
    </xf>
    <xf borderId="0" fillId="2" fontId="32" numFmtId="0" xfId="0" applyAlignment="1" applyFont="1">
      <alignment shrinkToFit="0" vertical="center" wrapText="1"/>
    </xf>
    <xf borderId="0" fillId="2" fontId="32" numFmtId="0" xfId="0" applyAlignment="1" applyFont="1">
      <alignment horizontal="center" shrinkToFit="0" vertical="center" wrapText="0"/>
    </xf>
    <xf borderId="0" fillId="2" fontId="45" numFmtId="0" xfId="0" applyAlignment="1" applyFont="1">
      <alignment vertical="center"/>
    </xf>
    <xf borderId="0" fillId="6" fontId="46" numFmtId="0" xfId="0" applyAlignment="1" applyFont="1">
      <alignment horizontal="center" readingOrder="0"/>
    </xf>
    <xf borderId="0" fillId="6" fontId="46" numFmtId="0" xfId="0" applyAlignment="1" applyFont="1">
      <alignment horizontal="center" readingOrder="0"/>
    </xf>
    <xf borderId="0" fillId="5" fontId="46" numFmtId="0" xfId="0" applyAlignment="1" applyFont="1">
      <alignment horizontal="center" vertical="center"/>
    </xf>
    <xf borderId="0" fillId="5" fontId="46" numFmtId="0" xfId="0" applyAlignment="1" applyFont="1">
      <alignment horizontal="center" readingOrder="0" shrinkToFit="0" vertical="center" wrapText="1"/>
    </xf>
    <xf borderId="0" fillId="5" fontId="46" numFmtId="0" xfId="0" applyAlignment="1" applyFont="1">
      <alignment horizontal="center" readingOrder="0" shrinkToFit="0" vertical="center" wrapText="0"/>
    </xf>
    <xf borderId="0" fillId="5" fontId="46" numFmtId="1" xfId="0" applyAlignment="1" applyFont="1" applyNumberFormat="1">
      <alignment horizontal="center" readingOrder="0" shrinkToFit="0" vertical="center" wrapText="1"/>
    </xf>
    <xf borderId="0" fillId="0" fontId="32" numFmtId="1" xfId="0" applyAlignment="1" applyFont="1" applyNumberFormat="1">
      <alignment readingOrder="0"/>
    </xf>
    <xf borderId="0" fillId="2" fontId="32" numFmtId="0" xfId="0" applyAlignment="1" applyFont="1">
      <alignment readingOrder="0"/>
    </xf>
    <xf borderId="0" fillId="2" fontId="32" numFmtId="1" xfId="0" applyAlignment="1" applyFont="1" applyNumberFormat="1">
      <alignment horizontal="center" readingOrder="0"/>
    </xf>
    <xf borderId="0" fillId="2" fontId="32" numFmtId="0" xfId="0" applyAlignment="1" applyFont="1">
      <alignment readingOrder="0" shrinkToFit="0" wrapText="0"/>
    </xf>
    <xf borderId="0" fillId="2" fontId="32" numFmtId="1" xfId="0" applyAlignment="1" applyFont="1" applyNumberFormat="1">
      <alignment horizontal="center" readingOrder="0" shrinkToFit="0" wrapText="0"/>
    </xf>
    <xf borderId="0" fillId="2" fontId="32" numFmtId="168" xfId="0" applyFont="1" applyNumberFormat="1"/>
    <xf borderId="0" fillId="2" fontId="32" numFmtId="1" xfId="0" applyAlignment="1" applyFont="1" applyNumberFormat="1">
      <alignment horizontal="center" shrinkToFit="0" wrapText="0"/>
    </xf>
    <xf borderId="0" fillId="6" fontId="21" numFmtId="0" xfId="0" applyAlignment="1" applyFont="1">
      <alignment horizontal="center" readingOrder="0"/>
    </xf>
    <xf borderId="0" fillId="5" fontId="21" numFmtId="0" xfId="0" applyAlignment="1" applyFont="1">
      <alignment horizontal="center"/>
    </xf>
    <xf borderId="0" fillId="5" fontId="21" numFmtId="0" xfId="0" applyAlignment="1" applyFont="1">
      <alignment horizontal="center" readingOrder="0"/>
    </xf>
    <xf borderId="0" fillId="5" fontId="21" numFmtId="0" xfId="0" applyAlignment="1" applyFont="1">
      <alignment horizontal="center" readingOrder="0" shrinkToFit="0" wrapText="0"/>
    </xf>
    <xf borderId="0" fillId="2" fontId="32" numFmtId="0" xfId="0" applyAlignment="1" applyFont="1">
      <alignment horizontal="center" readingOrder="0"/>
    </xf>
    <xf borderId="0" fillId="13" fontId="32" numFmtId="0" xfId="0" applyAlignment="1" applyFont="1">
      <alignment readingOrder="0"/>
    </xf>
    <xf borderId="0" fillId="12" fontId="47" numFmtId="0" xfId="0" applyAlignment="1" applyFont="1">
      <alignment horizontal="center" readingOrder="0"/>
    </xf>
    <xf borderId="0" fillId="7" fontId="47" numFmtId="0" xfId="0" applyAlignment="1" applyFont="1">
      <alignment horizontal="center" readingOrder="0"/>
    </xf>
    <xf borderId="0" fillId="6" fontId="48" numFmtId="0" xfId="0" applyAlignment="1" applyFont="1">
      <alignment readingOrder="0"/>
    </xf>
    <xf borderId="0" fillId="5" fontId="32" numFmtId="0" xfId="0" applyFont="1"/>
    <xf borderId="0" fillId="2" fontId="47" numFmtId="0" xfId="0" applyAlignment="1" applyFont="1">
      <alignment horizontal="center" readingOrder="0"/>
    </xf>
    <xf borderId="0" fillId="5" fontId="49" numFmtId="0" xfId="0" applyAlignment="1" applyFont="1">
      <alignment horizontal="right" readingOrder="0"/>
    </xf>
    <xf borderId="0" fillId="6" fontId="32" numFmtId="0" xfId="0" applyFont="1"/>
    <xf borderId="0" fillId="7" fontId="50" numFmtId="0" xfId="0" applyAlignment="1" applyFont="1">
      <alignment horizontal="left" readingOrder="0"/>
    </xf>
    <xf borderId="0" fillId="12" fontId="50" numFmtId="0" xfId="0" applyAlignment="1" applyFont="1">
      <alignment horizontal="left" readingOrder="0"/>
    </xf>
    <xf borderId="0" fillId="13" fontId="50" numFmtId="0" xfId="0" applyAlignment="1" applyFont="1">
      <alignment horizontal="left" readingOrder="0"/>
    </xf>
    <xf borderId="0" fillId="12" fontId="48" numFmtId="0" xfId="0" applyAlignment="1" applyFont="1">
      <alignment horizontal="left" readingOrder="0"/>
    </xf>
    <xf borderId="0" fillId="7" fontId="32" numFmtId="0" xfId="0" applyFont="1"/>
    <xf borderId="0" fillId="21" fontId="32" numFmtId="0" xfId="0" applyFill="1" applyFont="1"/>
    <xf borderId="0" fillId="22" fontId="47" numFmtId="0" xfId="0" applyAlignment="1" applyFill="1" applyFont="1">
      <alignment horizontal="center" readingOrder="0"/>
    </xf>
    <xf borderId="0" fillId="23" fontId="32" numFmtId="0" xfId="0" applyFill="1" applyFont="1"/>
    <xf borderId="0" fillId="23" fontId="20" numFmtId="0" xfId="0" applyFont="1"/>
    <xf borderId="0" fillId="14" fontId="32" numFmtId="0" xfId="0" applyAlignment="1" applyFont="1">
      <alignment horizontal="left"/>
    </xf>
    <xf borderId="0" fillId="24" fontId="32" numFmtId="0" xfId="0" applyFill="1" applyFont="1"/>
    <xf borderId="0" fillId="22" fontId="32" numFmtId="0" xfId="0" applyFont="1"/>
    <xf borderId="0" fillId="14" fontId="32" numFmtId="0" xfId="0" applyFont="1"/>
    <xf borderId="9" fillId="10" fontId="20" numFmtId="0" xfId="0" applyBorder="1" applyFont="1"/>
    <xf borderId="10" fillId="10" fontId="32" numFmtId="0" xfId="0" applyBorder="1" applyFont="1"/>
    <xf borderId="10" fillId="10" fontId="20" numFmtId="0" xfId="0" applyBorder="1" applyFont="1"/>
    <xf borderId="10" fillId="10" fontId="32" numFmtId="0" xfId="0" applyAlignment="1" applyBorder="1" applyFont="1">
      <alignment horizontal="left"/>
    </xf>
    <xf borderId="11" fillId="10" fontId="32" numFmtId="0" xfId="0" applyBorder="1" applyFont="1"/>
    <xf borderId="12" fillId="10" fontId="20" numFmtId="0" xfId="0" applyAlignment="1" applyBorder="1" applyFont="1">
      <alignment horizontal="center"/>
    </xf>
    <xf borderId="0" fillId="10" fontId="32" numFmtId="0" xfId="0" applyAlignment="1" applyFont="1">
      <alignment horizontal="center"/>
    </xf>
    <xf borderId="0" fillId="0" fontId="20" numFmtId="0" xfId="0" applyAlignment="1" applyFont="1">
      <alignment readingOrder="0"/>
    </xf>
    <xf borderId="0" fillId="10" fontId="51" numFmtId="0" xfId="0" applyAlignment="1" applyFont="1">
      <alignment horizontal="left" readingOrder="0"/>
    </xf>
    <xf borderId="0" fillId="0" fontId="32" numFmtId="0" xfId="0" applyAlignment="1" applyFont="1">
      <alignment horizontal="left" readingOrder="0"/>
    </xf>
    <xf borderId="0" fillId="0" fontId="21" numFmtId="0" xfId="0" applyAlignment="1" applyFont="1">
      <alignment horizontal="center" vertical="center"/>
    </xf>
    <xf borderId="0" fillId="10" fontId="21" numFmtId="0" xfId="0" applyAlignment="1" applyFont="1">
      <alignment horizontal="right" readingOrder="0"/>
    </xf>
    <xf borderId="0" fillId="10" fontId="32" numFmtId="0" xfId="0" applyAlignment="1" applyFont="1">
      <alignment readingOrder="0"/>
    </xf>
    <xf borderId="0" fillId="10" fontId="32" numFmtId="0" xfId="0" applyFont="1"/>
    <xf borderId="13" fillId="10" fontId="32" numFmtId="0" xfId="0" applyBorder="1" applyFont="1"/>
    <xf borderId="12" fillId="10" fontId="20" numFmtId="0" xfId="0" applyAlignment="1" applyBorder="1" applyFont="1">
      <alignment horizontal="center" readingOrder="0"/>
    </xf>
    <xf borderId="0" fillId="10" fontId="20" numFmtId="0" xfId="0" applyAlignment="1" applyFont="1">
      <alignment horizontal="center" readingOrder="0"/>
    </xf>
    <xf borderId="0" fillId="10" fontId="2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10" fontId="32" numFmtId="0" xfId="0" applyAlignment="1" applyFont="1">
      <alignment horizontal="center" readingOrder="0"/>
    </xf>
    <xf borderId="0" fillId="10" fontId="32" numFmtId="0" xfId="0" applyAlignment="1" applyFont="1">
      <alignment horizontal="right" readingOrder="0"/>
    </xf>
    <xf borderId="0" fillId="10" fontId="32" numFmtId="0" xfId="0" applyAlignment="1" applyFont="1">
      <alignment readingOrder="0" shrinkToFit="0" vertical="top" wrapText="1"/>
    </xf>
    <xf borderId="0" fillId="10" fontId="32" numFmtId="0" xfId="0" applyAlignment="1" applyFont="1">
      <alignment shrinkToFit="0" vertical="top" wrapText="1"/>
    </xf>
    <xf borderId="0" fillId="10" fontId="21" numFmtId="0" xfId="0" applyAlignment="1" applyFont="1">
      <alignment horizontal="center" readingOrder="0" vertical="center"/>
    </xf>
    <xf borderId="12" fillId="0" fontId="4" numFmtId="0" xfId="0" applyBorder="1" applyFont="1"/>
    <xf borderId="0" fillId="10" fontId="32" numFmtId="0" xfId="0" applyAlignment="1" applyFont="1">
      <alignment horizontal="center" readingOrder="0" vertical="top"/>
    </xf>
    <xf borderId="0" fillId="10" fontId="20" numFmtId="0" xfId="0" applyAlignment="1" applyFont="1">
      <alignment horizontal="center" readingOrder="0" vertical="top"/>
    </xf>
    <xf borderId="0" fillId="10" fontId="21" numFmtId="0" xfId="0" applyAlignment="1" applyFont="1">
      <alignment readingOrder="0" vertical="top"/>
    </xf>
    <xf borderId="0" fillId="0" fontId="32" numFmtId="0" xfId="0" applyAlignment="1" applyFont="1">
      <alignment horizontal="left" readingOrder="0" shrinkToFit="0" vertical="top" wrapText="1"/>
    </xf>
    <xf borderId="0" fillId="10" fontId="32" numFmtId="3" xfId="0" applyAlignment="1" applyFont="1" applyNumberFormat="1">
      <alignment horizontal="center"/>
    </xf>
    <xf borderId="0" fillId="10" fontId="20" numFmtId="0" xfId="0" applyAlignment="1" applyFont="1">
      <alignment horizontal="center"/>
    </xf>
    <xf borderId="0" fillId="10" fontId="32" numFmtId="0" xfId="0" applyAlignment="1" applyFont="1">
      <alignment readingOrder="0" shrinkToFit="0" vertical="top" wrapText="0"/>
    </xf>
    <xf borderId="0" fillId="10" fontId="32" numFmtId="0" xfId="0" applyAlignment="1" applyFont="1">
      <alignment horizontal="left" readingOrder="0" shrinkToFit="0" vertical="top" wrapText="0"/>
    </xf>
    <xf borderId="12" fillId="10" fontId="52" numFmtId="0" xfId="0" applyAlignment="1" applyBorder="1" applyFont="1">
      <alignment horizontal="center" readingOrder="0" vertical="center"/>
    </xf>
    <xf borderId="0" fillId="10" fontId="52" numFmtId="0" xfId="0" applyAlignment="1" applyFont="1">
      <alignment horizontal="center" readingOrder="0" vertical="center"/>
    </xf>
    <xf borderId="0" fillId="10" fontId="21" numFmtId="0" xfId="0" applyAlignment="1" applyFont="1">
      <alignment horizontal="left" readingOrder="0" vertical="center"/>
    </xf>
    <xf borderId="0" fillId="10" fontId="21" numFmtId="0" xfId="0" applyAlignment="1" applyFont="1">
      <alignment horizontal="center" readingOrder="0"/>
    </xf>
    <xf borderId="12" fillId="0" fontId="52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10" fillId="10" fontId="5" numFmtId="0" xfId="0" applyAlignment="1" applyBorder="1" applyFont="1">
      <alignment horizontal="center" readingOrder="0" vertical="center"/>
    </xf>
    <xf borderId="10" fillId="0" fontId="4" numFmtId="0" xfId="0" applyBorder="1" applyFont="1"/>
    <xf borderId="9" fillId="10" fontId="21" numFmtId="0" xfId="0" applyAlignment="1" applyBorder="1" applyFont="1">
      <alignment horizontal="center" readingOrder="0" vertical="center"/>
    </xf>
    <xf borderId="14" fillId="10" fontId="21" numFmtId="0" xfId="0" applyAlignment="1" applyBorder="1" applyFont="1">
      <alignment horizontal="center" readingOrder="0" vertical="center"/>
    </xf>
    <xf borderId="15" fillId="10" fontId="21" numFmtId="0" xfId="0" applyAlignment="1" applyBorder="1" applyFont="1">
      <alignment horizontal="center" readingOrder="0"/>
    </xf>
    <xf borderId="15" fillId="10" fontId="21" numFmtId="0" xfId="0" applyAlignment="1" applyBorder="1" applyFont="1">
      <alignment horizontal="center" readingOrder="0" vertical="center"/>
    </xf>
    <xf borderId="12" fillId="10" fontId="20" numFmtId="0" xfId="0" applyAlignment="1" applyBorder="1" applyFont="1">
      <alignment readingOrder="0"/>
    </xf>
    <xf borderId="16" fillId="10" fontId="20" numFmtId="0" xfId="0" applyAlignment="1" applyBorder="1" applyFont="1">
      <alignment readingOrder="0"/>
    </xf>
    <xf borderId="16" fillId="10" fontId="32" numFmtId="0" xfId="0" applyAlignment="1" applyBorder="1" applyFont="1">
      <alignment readingOrder="0"/>
    </xf>
    <xf borderId="16" fillId="0" fontId="4" numFmtId="0" xfId="0" applyBorder="1" applyFont="1"/>
    <xf borderId="15" fillId="10" fontId="32" numFmtId="0" xfId="0" applyBorder="1" applyFont="1"/>
    <xf borderId="17" fillId="10" fontId="32" numFmtId="0" xfId="0" applyBorder="1" applyFont="1"/>
    <xf borderId="15" fillId="10" fontId="32" numFmtId="3" xfId="0" applyAlignment="1" applyBorder="1" applyFont="1" applyNumberFormat="1">
      <alignment readingOrder="0"/>
    </xf>
    <xf borderId="15" fillId="10" fontId="32" numFmtId="0" xfId="0" applyAlignment="1" applyBorder="1" applyFont="1">
      <alignment readingOrder="0"/>
    </xf>
    <xf borderId="15" fillId="10" fontId="32" numFmtId="3" xfId="0" applyBorder="1" applyFont="1" applyNumberFormat="1"/>
    <xf borderId="18" fillId="10" fontId="20" numFmtId="0" xfId="0" applyBorder="1" applyFont="1"/>
    <xf borderId="19" fillId="10" fontId="32" numFmtId="0" xfId="0" applyBorder="1" applyFont="1"/>
    <xf borderId="19" fillId="10" fontId="20" numFmtId="0" xfId="0" applyBorder="1" applyFont="1"/>
    <xf borderId="19" fillId="10" fontId="32" numFmtId="0" xfId="0" applyAlignment="1" applyBorder="1" applyFont="1">
      <alignment horizontal="left"/>
    </xf>
    <xf borderId="20" fillId="10" fontId="32" numFmtId="0" xfId="0" applyBorder="1" applyFont="1"/>
    <xf borderId="0" fillId="0" fontId="20" numFmtId="0" xfId="0" applyFont="1"/>
    <xf borderId="0" fillId="0" fontId="32" numFmtId="0" xfId="0" applyAlignment="1" applyFont="1">
      <alignment horizontal="left"/>
    </xf>
    <xf borderId="9" fillId="0" fontId="20" numFmtId="0" xfId="0" applyBorder="1" applyFont="1"/>
    <xf borderId="10" fillId="0" fontId="32" numFmtId="0" xfId="0" applyBorder="1" applyFont="1"/>
    <xf borderId="10" fillId="0" fontId="20" numFmtId="0" xfId="0" applyBorder="1" applyFont="1"/>
    <xf borderId="10" fillId="0" fontId="32" numFmtId="0" xfId="0" applyAlignment="1" applyBorder="1" applyFont="1">
      <alignment horizontal="left"/>
    </xf>
    <xf borderId="11" fillId="0" fontId="32" numFmtId="0" xfId="0" applyBorder="1" applyFont="1"/>
    <xf borderId="12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3" fillId="0" fontId="32" numFmtId="0" xfId="0" applyBorder="1" applyFont="1"/>
    <xf borderId="0" fillId="0" fontId="20" numFmtId="0" xfId="0" applyAlignment="1" applyFont="1">
      <alignment horizontal="center" readingOrder="0"/>
    </xf>
    <xf borderId="0" fillId="0" fontId="32" numFmtId="49" xfId="0" applyAlignment="1" applyFont="1" applyNumberFormat="1">
      <alignment horizontal="left" readingOrder="0"/>
    </xf>
    <xf borderId="0" fillId="0" fontId="32" numFmtId="0" xfId="0" applyAlignment="1" applyFont="1">
      <alignment horizontal="right" readingOrder="0"/>
    </xf>
    <xf borderId="0" fillId="0" fontId="32" numFmtId="0" xfId="0" applyAlignment="1" applyFont="1">
      <alignment readingOrder="0" shrinkToFit="0" vertical="top" wrapText="1"/>
    </xf>
    <xf borderId="0" fillId="0" fontId="20" numFmtId="0" xfId="0" applyAlignment="1" applyFont="1">
      <alignment horizontal="center" readingOrder="0" vertical="top"/>
    </xf>
    <xf borderId="0" fillId="0" fontId="21" numFmtId="0" xfId="0" applyAlignment="1" applyFont="1">
      <alignment readingOrder="0" vertical="top"/>
    </xf>
    <xf borderId="0" fillId="0" fontId="32" numFmtId="49" xfId="0" applyAlignment="1" applyFont="1" applyNumberFormat="1">
      <alignment horizontal="left" readingOrder="0" shrinkToFit="0" vertical="top" wrapText="1"/>
    </xf>
    <xf borderId="12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32" numFmtId="0" xfId="0" applyAlignment="1" applyFont="1">
      <alignment readingOrder="0" shrinkToFit="0" vertical="top" wrapText="0"/>
    </xf>
    <xf borderId="0" fillId="0" fontId="32" numFmtId="0" xfId="0" applyAlignment="1" applyFont="1">
      <alignment horizontal="left" readingOrder="0" shrinkToFit="0" vertical="top" wrapText="0"/>
    </xf>
    <xf borderId="0" fillId="0" fontId="32" numFmtId="0" xfId="0" applyAlignment="1" applyFont="1">
      <alignment horizontal="center" readingOrder="0"/>
    </xf>
    <xf borderId="0" fillId="0" fontId="52" numFmtId="0" xfId="0" applyAlignment="1" applyFont="1">
      <alignment horizontal="center" readingOrder="0" vertical="center"/>
    </xf>
    <xf borderId="0" fillId="0" fontId="21" numFmtId="0" xfId="0" applyAlignment="1" applyFont="1">
      <alignment horizontal="left" readingOrder="0" vertical="center"/>
    </xf>
    <xf borderId="0" fillId="0" fontId="21" numFmtId="0" xfId="0" applyAlignment="1" applyFont="1">
      <alignment horizontal="center" readingOrder="0"/>
    </xf>
    <xf borderId="17" fillId="10" fontId="32" numFmtId="0" xfId="0" applyAlignment="1" applyBorder="1" applyFont="1">
      <alignment readingOrder="0"/>
    </xf>
    <xf borderId="17" fillId="10" fontId="32" numFmtId="3" xfId="0" applyAlignment="1" applyBorder="1" applyFont="1" applyNumberFormat="1">
      <alignment readingOrder="0"/>
    </xf>
    <xf borderId="17" fillId="10" fontId="32" numFmtId="3" xfId="0" applyBorder="1" applyFont="1" applyNumberFormat="1"/>
    <xf borderId="18" fillId="0" fontId="20" numFmtId="0" xfId="0" applyBorder="1" applyFont="1"/>
    <xf borderId="19" fillId="0" fontId="32" numFmtId="0" xfId="0" applyBorder="1" applyFont="1"/>
    <xf borderId="19" fillId="0" fontId="20" numFmtId="0" xfId="0" applyBorder="1" applyFont="1"/>
    <xf borderId="19" fillId="0" fontId="32" numFmtId="0" xfId="0" applyAlignment="1" applyBorder="1" applyFont="1">
      <alignment horizontal="left"/>
    </xf>
    <xf borderId="20" fillId="0" fontId="32" numFmtId="0" xfId="0" applyBorder="1" applyFont="1"/>
    <xf borderId="0" fillId="0" fontId="32" numFmtId="164" xfId="0" applyAlignment="1" applyFont="1" applyNumberFormat="1">
      <alignment horizontal="left" readingOrder="0"/>
    </xf>
    <xf borderId="0" fillId="0" fontId="32" numFmtId="0" xfId="0" applyAlignment="1" applyFont="1">
      <alignment horizontal="center" readingOrder="0" vertical="top"/>
    </xf>
    <xf borderId="0" fillId="0" fontId="32" numFmtId="0" xfId="0" applyAlignment="1" applyFont="1">
      <alignment horizontal="center" vertical="top"/>
    </xf>
    <xf borderId="0" fillId="0" fontId="1" numFmtId="0" xfId="0" applyAlignment="1" applyFont="1">
      <alignment horizontal="left" readingOrder="0" shrinkToFit="0" vertical="top" wrapText="1"/>
    </xf>
    <xf borderId="0" fillId="10" fontId="32" numFmtId="3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 shrinkToFit="0" vertical="top" wrapText="1"/>
    </xf>
    <xf borderId="0" fillId="10" fontId="32" numFmtId="0" xfId="0" applyAlignment="1" applyFont="1">
      <alignment horizontal="center" vertical="center"/>
    </xf>
    <xf borderId="0" fillId="10" fontId="32" numFmtId="0" xfId="0" applyAlignment="1" applyFont="1">
      <alignment horizontal="left" readingOrder="0"/>
    </xf>
    <xf borderId="0" fillId="10" fontId="32" numFmtId="0" xfId="0" applyAlignment="1" applyFont="1">
      <alignment horizontal="left" readingOrder="0" shrinkToFit="0" vertical="top" wrapText="1"/>
    </xf>
    <xf borderId="0" fillId="0" fontId="32" numFmtId="0" xfId="0" applyAlignment="1" applyFont="1">
      <alignment horizontal="left" readingOrder="0"/>
    </xf>
    <xf borderId="0" fillId="12" fontId="32" numFmtId="0" xfId="0" applyFont="1"/>
    <xf borderId="0" fillId="13" fontId="20" numFmtId="0" xfId="0" applyFont="1"/>
    <xf borderId="0" fillId="13" fontId="32" numFmtId="0" xfId="0" applyFont="1"/>
    <xf borderId="0" fillId="12" fontId="20" numFmtId="0" xfId="0" applyFont="1"/>
    <xf borderId="0" fillId="6" fontId="32" numFmtId="0" xfId="0" applyAlignment="1" applyFont="1">
      <alignment horizontal="left"/>
    </xf>
    <xf borderId="0" fillId="0" fontId="32" numFmtId="3" xfId="0" applyAlignment="1" applyFont="1" applyNumberFormat="1">
      <alignment horizontal="center"/>
    </xf>
    <xf borderId="0" fillId="10" fontId="53" numFmtId="0" xfId="0" applyAlignment="1" applyFont="1">
      <alignment horizontal="left" readingOrder="0"/>
    </xf>
    <xf borderId="0" fillId="22" fontId="20" numFmtId="0" xfId="0" applyFont="1"/>
    <xf borderId="0" fillId="22" fontId="32" numFmtId="0" xfId="0" applyAlignment="1" applyFont="1">
      <alignment horizontal="left"/>
    </xf>
    <xf borderId="0" fillId="25" fontId="32" numFmtId="0" xfId="0" applyFill="1" applyFont="1"/>
    <xf borderId="0" fillId="25" fontId="47" numFmtId="0" xfId="0" applyAlignment="1" applyFont="1">
      <alignment horizontal="center" readingOrder="0"/>
    </xf>
    <xf borderId="0" fillId="25" fontId="20" numFmtId="0" xfId="0" applyFont="1"/>
    <xf borderId="0" fillId="26" fontId="20" numFmtId="0" xfId="0" applyFill="1" applyFont="1"/>
    <xf borderId="0" fillId="27" fontId="32" numFmtId="0" xfId="0" applyFill="1" applyFont="1"/>
    <xf borderId="0" fillId="9" fontId="32" numFmtId="0" xfId="0" applyAlignment="1" applyFont="1">
      <alignment horizontal="left"/>
    </xf>
    <xf borderId="0" fillId="28" fontId="32" numFmtId="0" xfId="0" applyFill="1" applyFont="1"/>
    <xf borderId="0" fillId="9" fontId="32" numFmtId="0" xfId="0" applyFont="1"/>
    <xf borderId="0" fillId="26" fontId="32" numFmtId="0" xfId="0" applyFont="1"/>
    <xf borderId="16" fillId="0" fontId="20" numFmtId="0" xfId="0" applyBorder="1" applyFont="1"/>
    <xf borderId="15" fillId="0" fontId="32" numFmtId="0" xfId="0" applyBorder="1" applyFont="1"/>
    <xf borderId="17" fillId="0" fontId="32" numFmtId="0" xfId="0" applyBorder="1" applyFont="1"/>
    <xf borderId="0" fillId="0" fontId="32" numFmtId="170" xfId="0" applyAlignment="1" applyFont="1" applyNumberFormat="1">
      <alignment horizontal="center" readingOrder="0"/>
    </xf>
    <xf borderId="0" fillId="0" fontId="32" numFmtId="0" xfId="0" applyAlignment="1" applyFont="1">
      <alignment horizontal="left" readingOrder="0"/>
    </xf>
    <xf borderId="0" fillId="0" fontId="34" numFmtId="0" xfId="0" applyAlignment="1" applyFont="1">
      <alignment horizontal="center"/>
    </xf>
    <xf borderId="19" fillId="0" fontId="32" numFmtId="0" xfId="0" applyAlignment="1" applyBorder="1" applyFont="1">
      <alignment readingOrder="0"/>
    </xf>
    <xf borderId="0" fillId="2" fontId="20" numFmtId="0" xfId="0" applyFont="1"/>
    <xf borderId="0" fillId="2" fontId="32" numFmtId="0" xfId="0" applyAlignment="1" applyFont="1">
      <alignment horizontal="left"/>
    </xf>
    <xf borderId="0" fillId="0" fontId="32" numFmtId="169" xfId="0" applyFont="1" applyNumberFormat="1"/>
    <xf borderId="0" fillId="0" fontId="32" numFmtId="171" xfId="0" applyFont="1" applyNumberFormat="1"/>
    <xf borderId="0" fillId="0" fontId="32" numFmtId="0" xfId="0" applyFont="1"/>
    <xf borderId="0" fillId="0" fontId="32" numFmtId="14" xfId="0" applyAlignment="1" applyFont="1" applyNumberFormat="1">
      <alignment readingOrder="0"/>
    </xf>
    <xf borderId="0" fillId="0" fontId="32" numFmtId="172" xfId="0" applyFont="1" applyNumberFormat="1"/>
    <xf borderId="0" fillId="0" fontId="32" numFmtId="49" xfId="0" applyFont="1" applyNumberFormat="1"/>
    <xf borderId="0" fillId="0" fontId="21" numFmtId="0" xfId="0" applyAlignment="1" applyFont="1">
      <alignment horizontal="center" readingOrder="0"/>
    </xf>
    <xf borderId="21" fillId="0" fontId="53" numFmtId="0" xfId="0" applyAlignment="1" applyBorder="1" applyFont="1">
      <alignment vertical="bottom"/>
    </xf>
    <xf borderId="22" fillId="0" fontId="53" numFmtId="0" xfId="0" applyAlignment="1" applyBorder="1" applyFont="1">
      <alignment vertical="bottom"/>
    </xf>
    <xf borderId="22" fillId="0" fontId="33" numFmtId="0" xfId="0" applyAlignment="1" applyBorder="1" applyFont="1">
      <alignment horizontal="right" vertical="bottom"/>
    </xf>
    <xf borderId="0" fillId="0" fontId="33" numFmtId="0" xfId="0" applyAlignment="1" applyFont="1">
      <alignment horizontal="right" vertical="bottom"/>
    </xf>
    <xf borderId="21" fillId="0" fontId="54" numFmtId="0" xfId="0" applyAlignment="1" applyBorder="1" applyFont="1">
      <alignment vertical="bottom"/>
    </xf>
    <xf borderId="23" fillId="0" fontId="53" numFmtId="0" xfId="0" applyAlignment="1" applyBorder="1" applyFont="1">
      <alignment vertical="bottom"/>
    </xf>
    <xf borderId="23" fillId="0" fontId="33" numFmtId="0" xfId="0" applyAlignment="1" applyBorder="1" applyFont="1">
      <alignment horizontal="right" vertical="bottom"/>
    </xf>
    <xf borderId="23" fillId="0" fontId="33" numFmtId="0" xfId="0" applyAlignment="1" applyBorder="1" applyFont="1">
      <alignment vertical="bottom"/>
    </xf>
    <xf borderId="24" fillId="0" fontId="33" numFmtId="0" xfId="0" applyAlignment="1" applyBorder="1" applyFont="1">
      <alignment vertical="bottom"/>
    </xf>
    <xf borderId="0" fillId="10" fontId="55" numFmtId="0" xfId="0" applyFont="1"/>
    <xf borderId="0" fillId="0" fontId="21" numFmtId="0" xfId="0" applyFont="1"/>
    <xf borderId="0" fillId="29" fontId="31" numFmtId="0" xfId="0" applyAlignment="1" applyFill="1" applyFont="1">
      <alignment horizontal="center" readingOrder="0"/>
    </xf>
    <xf borderId="0" fillId="29" fontId="1" numFmtId="0" xfId="0" applyAlignment="1" applyFont="1">
      <alignment horizontal="center" readingOrder="0"/>
    </xf>
    <xf borderId="0" fillId="29" fontId="56" numFmtId="0" xfId="0" applyAlignment="1" applyFont="1">
      <alignment horizontal="center" readingOrder="0"/>
    </xf>
    <xf borderId="0" fillId="29" fontId="19" numFmtId="0" xfId="0" applyAlignment="1" applyFont="1">
      <alignment horizontal="left" readingOrder="0" vertical="top"/>
    </xf>
    <xf borderId="0" fillId="29" fontId="57" numFmtId="0" xfId="0" applyAlignment="1" applyFont="1">
      <alignment horizontal="right" readingOrder="0"/>
    </xf>
    <xf borderId="0" fillId="29" fontId="19" numFmtId="0" xfId="0" applyAlignment="1" applyFont="1">
      <alignment horizontal="right" readingOrder="0"/>
    </xf>
    <xf borderId="0" fillId="10" fontId="1" numFmtId="0" xfId="0" applyAlignment="1" applyFont="1">
      <alignment readingOrder="0"/>
    </xf>
    <xf borderId="0" fillId="0" fontId="32" numFmtId="168" xfId="0" applyFont="1" applyNumberFormat="1"/>
    <xf borderId="0" fillId="0" fontId="32" numFmtId="14" xfId="0" applyFont="1" applyNumberFormat="1"/>
    <xf borderId="21" fillId="0" fontId="3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21" fillId="0" fontId="9" numFmtId="0" xfId="0" applyAlignment="1" applyBorder="1" applyFont="1">
      <alignment readingOrder="0"/>
    </xf>
    <xf borderId="21" fillId="0" fontId="1" numFmtId="0" xfId="0" applyAlignment="1" applyBorder="1" applyFont="1">
      <alignment readingOrder="0"/>
    </xf>
    <xf borderId="21" fillId="0" fontId="32" numFmtId="0" xfId="0" applyBorder="1" applyFont="1"/>
    <xf borderId="0" fillId="0" fontId="9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2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0.jpg"/><Relationship Id="rId22" Type="http://schemas.openxmlformats.org/officeDocument/2006/relationships/image" Target="../media/image15.jpg"/><Relationship Id="rId21" Type="http://schemas.openxmlformats.org/officeDocument/2006/relationships/image" Target="../media/image26.png"/><Relationship Id="rId24" Type="http://schemas.openxmlformats.org/officeDocument/2006/relationships/image" Target="../media/image18.png"/><Relationship Id="rId23" Type="http://schemas.openxmlformats.org/officeDocument/2006/relationships/image" Target="../media/image14.png"/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1.png"/><Relationship Id="rId4" Type="http://schemas.openxmlformats.org/officeDocument/2006/relationships/image" Target="../media/image1.png"/><Relationship Id="rId9" Type="http://schemas.openxmlformats.org/officeDocument/2006/relationships/image" Target="../media/image17.png"/><Relationship Id="rId26" Type="http://schemas.openxmlformats.org/officeDocument/2006/relationships/image" Target="../media/image29.png"/><Relationship Id="rId25" Type="http://schemas.openxmlformats.org/officeDocument/2006/relationships/image" Target="../media/image21.png"/><Relationship Id="rId28" Type="http://schemas.openxmlformats.org/officeDocument/2006/relationships/image" Target="../media/image27.png"/><Relationship Id="rId27" Type="http://schemas.openxmlformats.org/officeDocument/2006/relationships/image" Target="../media/image19.png"/><Relationship Id="rId5" Type="http://schemas.openxmlformats.org/officeDocument/2006/relationships/image" Target="../media/image4.png"/><Relationship Id="rId6" Type="http://schemas.openxmlformats.org/officeDocument/2006/relationships/image" Target="../media/image5.png"/><Relationship Id="rId29" Type="http://schemas.openxmlformats.org/officeDocument/2006/relationships/image" Target="../media/image22.png"/><Relationship Id="rId7" Type="http://schemas.openxmlformats.org/officeDocument/2006/relationships/image" Target="../media/image31.png"/><Relationship Id="rId8" Type="http://schemas.openxmlformats.org/officeDocument/2006/relationships/image" Target="../media/image32.jpg"/><Relationship Id="rId31" Type="http://schemas.openxmlformats.org/officeDocument/2006/relationships/image" Target="../media/image25.png"/><Relationship Id="rId30" Type="http://schemas.openxmlformats.org/officeDocument/2006/relationships/image" Target="../media/image24.jpg"/><Relationship Id="rId11" Type="http://schemas.openxmlformats.org/officeDocument/2006/relationships/image" Target="../media/image6.jpg"/><Relationship Id="rId10" Type="http://schemas.openxmlformats.org/officeDocument/2006/relationships/image" Target="../media/image28.jpg"/><Relationship Id="rId13" Type="http://schemas.openxmlformats.org/officeDocument/2006/relationships/image" Target="../media/image7.png"/><Relationship Id="rId12" Type="http://schemas.openxmlformats.org/officeDocument/2006/relationships/image" Target="../media/image9.png"/><Relationship Id="rId15" Type="http://schemas.openxmlformats.org/officeDocument/2006/relationships/image" Target="../media/image10.png"/><Relationship Id="rId14" Type="http://schemas.openxmlformats.org/officeDocument/2006/relationships/image" Target="../media/image8.png"/><Relationship Id="rId17" Type="http://schemas.openxmlformats.org/officeDocument/2006/relationships/image" Target="../media/image13.jpg"/><Relationship Id="rId16" Type="http://schemas.openxmlformats.org/officeDocument/2006/relationships/image" Target="../media/image12.png"/><Relationship Id="rId19" Type="http://schemas.openxmlformats.org/officeDocument/2006/relationships/image" Target="../media/image23.png"/><Relationship Id="rId18" Type="http://schemas.openxmlformats.org/officeDocument/2006/relationships/image" Target="../media/image16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20" Type="http://schemas.openxmlformats.org/officeDocument/2006/relationships/image" Target="../media/image15.jpg"/><Relationship Id="rId22" Type="http://schemas.openxmlformats.org/officeDocument/2006/relationships/image" Target="../media/image19.png"/><Relationship Id="rId21" Type="http://schemas.openxmlformats.org/officeDocument/2006/relationships/image" Target="../media/image29.png"/><Relationship Id="rId24" Type="http://schemas.openxmlformats.org/officeDocument/2006/relationships/image" Target="../media/image21.png"/><Relationship Id="rId23" Type="http://schemas.openxmlformats.org/officeDocument/2006/relationships/image" Target="../media/image25.png"/><Relationship Id="rId1" Type="http://schemas.openxmlformats.org/officeDocument/2006/relationships/image" Target="../media/image32.jpg"/><Relationship Id="rId2" Type="http://schemas.openxmlformats.org/officeDocument/2006/relationships/image" Target="../media/image22.png"/><Relationship Id="rId3" Type="http://schemas.openxmlformats.org/officeDocument/2006/relationships/image" Target="../media/image17.png"/><Relationship Id="rId4" Type="http://schemas.openxmlformats.org/officeDocument/2006/relationships/image" Target="../media/image24.jpg"/><Relationship Id="rId9" Type="http://schemas.openxmlformats.org/officeDocument/2006/relationships/image" Target="../media/image34.png"/><Relationship Id="rId26" Type="http://schemas.openxmlformats.org/officeDocument/2006/relationships/image" Target="../media/image20.jpg"/><Relationship Id="rId25" Type="http://schemas.openxmlformats.org/officeDocument/2006/relationships/image" Target="../media/image14.png"/><Relationship Id="rId27" Type="http://schemas.openxmlformats.org/officeDocument/2006/relationships/image" Target="../media/image4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28.jpg"/><Relationship Id="rId8" Type="http://schemas.openxmlformats.org/officeDocument/2006/relationships/image" Target="../media/image37.png"/><Relationship Id="rId11" Type="http://schemas.openxmlformats.org/officeDocument/2006/relationships/image" Target="../media/image5.png"/><Relationship Id="rId10" Type="http://schemas.openxmlformats.org/officeDocument/2006/relationships/image" Target="../media/image6.jpg"/><Relationship Id="rId13" Type="http://schemas.openxmlformats.org/officeDocument/2006/relationships/image" Target="../media/image13.jpg"/><Relationship Id="rId12" Type="http://schemas.openxmlformats.org/officeDocument/2006/relationships/image" Target="../media/image10.png"/><Relationship Id="rId15" Type="http://schemas.openxmlformats.org/officeDocument/2006/relationships/image" Target="../media/image1.png"/><Relationship Id="rId14" Type="http://schemas.openxmlformats.org/officeDocument/2006/relationships/image" Target="../media/image33.png"/><Relationship Id="rId17" Type="http://schemas.openxmlformats.org/officeDocument/2006/relationships/image" Target="../media/image23.png"/><Relationship Id="rId16" Type="http://schemas.openxmlformats.org/officeDocument/2006/relationships/image" Target="../media/image36.png"/><Relationship Id="rId19" Type="http://schemas.openxmlformats.org/officeDocument/2006/relationships/image" Target="../media/image35.png"/><Relationship Id="rId18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47650" cy="2190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257175" cy="6667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209550" cy="238125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</xdr:row>
      <xdr:rowOff>0</xdr:rowOff>
    </xdr:from>
    <xdr:ext cx="209550" cy="2190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247650" cy="22860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3</xdr:row>
      <xdr:rowOff>0</xdr:rowOff>
    </xdr:from>
    <xdr:ext cx="219075" cy="21907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209550" cy="200025"/>
    <xdr:pic>
      <xdr:nvPicPr>
        <xdr:cNvPr id="0" name="image3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4</xdr:row>
      <xdr:rowOff>0</xdr:rowOff>
    </xdr:from>
    <xdr:ext cx="142875" cy="200025"/>
    <xdr:pic>
      <xdr:nvPicPr>
        <xdr:cNvPr id="0" name="image3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5</xdr:row>
      <xdr:rowOff>0</xdr:rowOff>
    </xdr:from>
    <xdr:ext cx="190500" cy="200025"/>
    <xdr:pic>
      <xdr:nvPicPr>
        <xdr:cNvPr id="0" name="image17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7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8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9</xdr:row>
      <xdr:rowOff>0</xdr:rowOff>
    </xdr:from>
    <xdr:ext cx="190500" cy="200025"/>
    <xdr:pic>
      <xdr:nvPicPr>
        <xdr:cNvPr id="0" name="image9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295275" cy="180975"/>
    <xdr:pic>
      <xdr:nvPicPr>
        <xdr:cNvPr id="0" name="image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11</xdr:row>
      <xdr:rowOff>0</xdr:rowOff>
    </xdr:from>
    <xdr:ext cx="219075" cy="190500"/>
    <xdr:pic>
      <xdr:nvPicPr>
        <xdr:cNvPr id="0" name="image8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12</xdr:row>
      <xdr:rowOff>0</xdr:rowOff>
    </xdr:from>
    <xdr:ext cx="219075" cy="219075"/>
    <xdr:pic>
      <xdr:nvPicPr>
        <xdr:cNvPr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13</xdr:row>
      <xdr:rowOff>0</xdr:rowOff>
    </xdr:from>
    <xdr:ext cx="200025" cy="200025"/>
    <xdr:pic>
      <xdr:nvPicPr>
        <xdr:cNvPr id="0" name="image12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13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161925" cy="200025"/>
    <xdr:pic>
      <xdr:nvPicPr>
        <xdr:cNvPr id="0" name="image16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15</xdr:row>
      <xdr:rowOff>0</xdr:rowOff>
    </xdr:from>
    <xdr:ext cx="180975" cy="200025"/>
    <xdr:pic>
      <xdr:nvPicPr>
        <xdr:cNvPr id="0" name="image2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200025" cy="200025"/>
    <xdr:pic>
      <xdr:nvPicPr>
        <xdr:cNvPr id="0" name="image2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17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18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200025" cy="200025"/>
    <xdr:pic>
      <xdr:nvPicPr>
        <xdr:cNvPr id="0" name="image18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19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20</xdr:row>
      <xdr:rowOff>0</xdr:rowOff>
    </xdr:from>
    <xdr:ext cx="219075" cy="219075"/>
    <xdr:pic>
      <xdr:nvPicPr>
        <xdr:cNvPr id="0" name="image29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21</xdr:row>
      <xdr:rowOff>0</xdr:rowOff>
    </xdr:from>
    <xdr:ext cx="219075" cy="209550"/>
    <xdr:pic>
      <xdr:nvPicPr>
        <xdr:cNvPr id="0" name="image19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22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23</xdr:row>
      <xdr:rowOff>0</xdr:rowOff>
    </xdr:from>
    <xdr:ext cx="180975" cy="200025"/>
    <xdr:pic>
      <xdr:nvPicPr>
        <xdr:cNvPr id="0" name="image22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25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26</xdr:row>
      <xdr:rowOff>0</xdr:rowOff>
    </xdr:from>
    <xdr:ext cx="190500" cy="200025"/>
    <xdr:pic>
      <xdr:nvPicPr>
        <xdr:cNvPr id="0" name="image25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2</xdr:row>
      <xdr:rowOff>171450</xdr:rowOff>
    </xdr:from>
    <xdr:ext cx="7334250" cy="2924175"/>
    <xdr:pic>
      <xdr:nvPicPr>
        <xdr:cNvPr id="462589408" name="Chart1" title="Biểu đồ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200025" cy="104775"/>
    <xdr:pic>
      <xdr:nvPicPr>
        <xdr:cNvPr id="0" name="image3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4</xdr:row>
      <xdr:rowOff>0</xdr:rowOff>
    </xdr:from>
    <xdr:ext cx="142875" cy="200025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180975" cy="200025"/>
    <xdr:pic>
      <xdr:nvPicPr>
        <xdr:cNvPr id="0" name="image2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190500" cy="200025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94</xdr:row>
      <xdr:rowOff>0</xdr:rowOff>
    </xdr:from>
    <xdr:ext cx="200025" cy="200025"/>
    <xdr:pic>
      <xdr:nvPicPr>
        <xdr:cNvPr id="0" name="image2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124</xdr:row>
      <xdr:rowOff>0</xdr:rowOff>
    </xdr:from>
    <xdr:ext cx="219075" cy="2000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154</xdr:row>
      <xdr:rowOff>0</xdr:rowOff>
    </xdr:from>
    <xdr:ext cx="190500" cy="20002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184</xdr:row>
      <xdr:rowOff>0</xdr:rowOff>
    </xdr:from>
    <xdr:ext cx="200025" cy="200025"/>
    <xdr:pic>
      <xdr:nvPicPr>
        <xdr:cNvPr id="0" name="image2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214</xdr:row>
      <xdr:rowOff>0</xdr:rowOff>
    </xdr:from>
    <xdr:ext cx="161925" cy="190500"/>
    <xdr:pic>
      <xdr:nvPicPr>
        <xdr:cNvPr id="0" name="image3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244</xdr:row>
      <xdr:rowOff>0</xdr:rowOff>
    </xdr:from>
    <xdr:ext cx="180975" cy="200025"/>
    <xdr:pic>
      <xdr:nvPicPr>
        <xdr:cNvPr id="0" name="image34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274</xdr:row>
      <xdr:rowOff>0</xdr:rowOff>
    </xdr:from>
    <xdr:ext cx="200025" cy="200025"/>
    <xdr:pic>
      <xdr:nvPicPr>
        <xdr:cNvPr id="0" name="image6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304</xdr:row>
      <xdr:rowOff>0</xdr:rowOff>
    </xdr:from>
    <xdr:ext cx="190500" cy="2000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334</xdr:row>
      <xdr:rowOff>0</xdr:rowOff>
    </xdr:from>
    <xdr:ext cx="190500" cy="200025"/>
    <xdr:pic>
      <xdr:nvPicPr>
        <xdr:cNvPr id="0" name="image10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364</xdr:row>
      <xdr:rowOff>0</xdr:rowOff>
    </xdr:from>
    <xdr:ext cx="200025" cy="200025"/>
    <xdr:pic>
      <xdr:nvPicPr>
        <xdr:cNvPr id="0" name="image1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394</xdr:row>
      <xdr:rowOff>0</xdr:rowOff>
    </xdr:from>
    <xdr:ext cx="200025" cy="200025"/>
    <xdr:pic>
      <xdr:nvPicPr>
        <xdr:cNvPr id="0" name="image3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424</xdr:row>
      <xdr:rowOff>0</xdr:rowOff>
    </xdr:from>
    <xdr:ext cx="190500" cy="200025"/>
    <xdr:pic>
      <xdr:nvPicPr>
        <xdr:cNvPr id="0" name="image1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454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485</xdr:row>
      <xdr:rowOff>0</xdr:rowOff>
    </xdr:from>
    <xdr:ext cx="180975" cy="200025"/>
    <xdr:pic>
      <xdr:nvPicPr>
        <xdr:cNvPr id="0" name="image2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515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545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576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636</xdr:row>
      <xdr:rowOff>0</xdr:rowOff>
    </xdr:from>
    <xdr:ext cx="200025" cy="200025"/>
    <xdr:pic>
      <xdr:nvPicPr>
        <xdr:cNvPr id="0" name="image2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666</xdr:row>
      <xdr:rowOff>0</xdr:rowOff>
    </xdr:from>
    <xdr:ext cx="171450" cy="200025"/>
    <xdr:pic>
      <xdr:nvPicPr>
        <xdr:cNvPr id="0" name="image3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696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756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786</xdr:row>
      <xdr:rowOff>0</xdr:rowOff>
    </xdr:from>
    <xdr:ext cx="200025" cy="200025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816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876</xdr:row>
      <xdr:rowOff>0</xdr:rowOff>
    </xdr:from>
    <xdr:ext cx="200025" cy="200025"/>
    <xdr:pic>
      <xdr:nvPicPr>
        <xdr:cNvPr id="0" name="image29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906</xdr:row>
      <xdr:rowOff>0</xdr:rowOff>
    </xdr:from>
    <xdr:ext cx="200025" cy="200025"/>
    <xdr:pic>
      <xdr:nvPicPr>
        <xdr:cNvPr id="0" name="image19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936</xdr:row>
      <xdr:rowOff>0</xdr:rowOff>
    </xdr:from>
    <xdr:ext cx="190500" cy="200025"/>
    <xdr:pic>
      <xdr:nvPicPr>
        <xdr:cNvPr id="0" name="image25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966</xdr:row>
      <xdr:rowOff>0</xdr:rowOff>
    </xdr:from>
    <xdr:ext cx="200025" cy="200025"/>
    <xdr:pic>
      <xdr:nvPicPr>
        <xdr:cNvPr id="0" name="image21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996</xdr:row>
      <xdr:rowOff>0</xdr:rowOff>
    </xdr:from>
    <xdr:ext cx="200025" cy="200025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1026</xdr:row>
      <xdr:rowOff>0</xdr:rowOff>
    </xdr:from>
    <xdr:ext cx="200025" cy="200025"/>
    <xdr:pic>
      <xdr:nvPicPr>
        <xdr:cNvPr id="0" name="image2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1056</xdr:row>
      <xdr:rowOff>0</xdr:rowOff>
    </xdr:from>
    <xdr:ext cx="200025" cy="200025"/>
    <xdr:pic>
      <xdr:nvPicPr>
        <xdr:cNvPr id="0" name="image36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1082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vpa.vu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vpa.vu" TargetMode="External"/><Relationship Id="rId3" Type="http://schemas.openxmlformats.org/officeDocument/2006/relationships/drawing" Target="../drawings/drawing5.xml"/><Relationship Id="rId4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vpa.vu" TargetMode="External"/><Relationship Id="rId2" Type="http://schemas.openxmlformats.org/officeDocument/2006/relationships/hyperlink" Target="http://vpa.vu" TargetMode="External"/><Relationship Id="rId3" Type="http://schemas.openxmlformats.org/officeDocument/2006/relationships/hyperlink" Target="http://vpa.vu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vpa.vu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3.25"/>
    <col customWidth="1" hidden="1" min="2" max="2" width="26.25"/>
    <col customWidth="1" hidden="1" min="3" max="3" width="11.5"/>
    <col customWidth="1" hidden="1" min="4" max="4" width="3.25"/>
    <col customWidth="1" hidden="1" min="5" max="5" width="6.13"/>
    <col customWidth="1" hidden="1" min="6" max="6" width="5.63"/>
    <col customWidth="1" hidden="1" min="7" max="7" width="6.0"/>
    <col customWidth="1" min="8" max="8" width="3.5"/>
    <col customWidth="1" min="9" max="9" width="2.5"/>
    <col customWidth="1" min="10" max="11" width="3.88"/>
    <col customWidth="1" min="12" max="12" width="12.13"/>
    <col customWidth="1" min="13" max="13" width="3.5"/>
    <col customWidth="1" min="14" max="14" width="3.25"/>
    <col customWidth="1" min="15" max="15" width="3.13"/>
    <col customWidth="1" hidden="1" min="16" max="16" width="2.0"/>
    <col customWidth="1" min="17" max="17" width="4.25"/>
    <col customWidth="1" min="18" max="18" width="12.38"/>
    <col customWidth="1" min="19" max="19" width="2.88"/>
    <col customWidth="1" hidden="1" min="20" max="20" width="2.88"/>
    <col customWidth="1" min="21" max="27" width="2.88"/>
    <col customWidth="1" hidden="1" min="28" max="28" width="2.88"/>
    <col customWidth="1" min="29" max="96" width="2.88"/>
  </cols>
  <sheetData>
    <row r="1" hidden="1">
      <c r="A1" s="1">
        <v>0.0</v>
      </c>
      <c r="B1" s="2"/>
      <c r="C1" s="2"/>
      <c r="D1" s="2"/>
      <c r="E1" s="2"/>
      <c r="F1" s="2"/>
      <c r="G1" s="2"/>
      <c r="H1" s="2"/>
      <c r="I1" s="2"/>
      <c r="J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</row>
    <row r="2" ht="18.75" customHeight="1">
      <c r="A2" s="1"/>
      <c r="B2" s="2"/>
      <c r="C2" s="2"/>
      <c r="D2" s="4" t="s">
        <v>0</v>
      </c>
      <c r="E2" s="2"/>
      <c r="F2" s="2"/>
      <c r="G2" s="5"/>
      <c r="H2" s="6"/>
      <c r="I2" s="7"/>
      <c r="J2" s="7"/>
      <c r="K2" s="7"/>
      <c r="L2" s="7"/>
      <c r="M2" s="7"/>
      <c r="N2" s="7"/>
      <c r="O2" s="7"/>
      <c r="P2" s="8"/>
      <c r="Q2" s="9"/>
      <c r="R2" s="10">
        <v>2026.0</v>
      </c>
      <c r="T2" s="11" t="s">
        <v>1</v>
      </c>
      <c r="U2" s="12">
        <v>-7.0</v>
      </c>
      <c r="V2" s="12">
        <v>-6.0</v>
      </c>
      <c r="W2" s="12">
        <v>-5.0</v>
      </c>
      <c r="X2" s="12">
        <v>-4.0</v>
      </c>
      <c r="Y2" s="12">
        <v>-3.0</v>
      </c>
      <c r="Z2" s="12">
        <v>-2.0</v>
      </c>
      <c r="AA2" s="12">
        <v>-1.0</v>
      </c>
      <c r="AB2" s="13">
        <v>0.0</v>
      </c>
      <c r="AC2" s="13">
        <v>1.0</v>
      </c>
      <c r="AD2" s="13">
        <v>2.0</v>
      </c>
      <c r="AE2" s="13">
        <v>3.0</v>
      </c>
      <c r="AF2" s="13">
        <v>4.0</v>
      </c>
      <c r="AG2" s="13">
        <v>5.0</v>
      </c>
      <c r="AH2" s="13">
        <v>6.0</v>
      </c>
      <c r="AI2" s="13">
        <v>7.0</v>
      </c>
      <c r="AJ2" s="13">
        <v>8.0</v>
      </c>
      <c r="AK2" s="13">
        <v>9.0</v>
      </c>
      <c r="AL2" s="13">
        <v>10.0</v>
      </c>
      <c r="AM2" s="13">
        <v>11.0</v>
      </c>
      <c r="AN2" s="13">
        <v>12.0</v>
      </c>
      <c r="AO2" s="13">
        <v>13.0</v>
      </c>
      <c r="AP2" s="13">
        <v>14.0</v>
      </c>
      <c r="AQ2" s="13">
        <v>15.0</v>
      </c>
      <c r="AR2" s="13">
        <v>16.0</v>
      </c>
      <c r="AS2" s="13">
        <v>17.0</v>
      </c>
      <c r="AT2" s="13">
        <v>18.0</v>
      </c>
      <c r="AU2" s="13">
        <v>19.0</v>
      </c>
      <c r="AV2" s="13">
        <v>20.0</v>
      </c>
      <c r="AW2" s="13">
        <v>21.0</v>
      </c>
      <c r="AX2" s="13">
        <v>22.0</v>
      </c>
      <c r="AY2" s="13">
        <v>23.0</v>
      </c>
      <c r="AZ2" s="13">
        <v>24.0</v>
      </c>
      <c r="BA2" s="13">
        <v>25.0</v>
      </c>
      <c r="BB2" s="13">
        <v>26.0</v>
      </c>
      <c r="BC2" s="13">
        <v>27.0</v>
      </c>
      <c r="BD2" s="13">
        <v>28.0</v>
      </c>
      <c r="BE2" s="13">
        <v>29.0</v>
      </c>
      <c r="BF2" s="13">
        <v>30.0</v>
      </c>
      <c r="BG2" s="13">
        <v>31.0</v>
      </c>
      <c r="BH2" s="13">
        <v>32.0</v>
      </c>
      <c r="BI2" s="13">
        <v>33.0</v>
      </c>
      <c r="BJ2" s="13">
        <v>34.0</v>
      </c>
      <c r="BK2" s="13">
        <v>35.0</v>
      </c>
      <c r="BL2" s="13">
        <v>36.0</v>
      </c>
      <c r="BM2" s="13">
        <v>37.0</v>
      </c>
      <c r="BN2" s="13">
        <v>38.0</v>
      </c>
      <c r="BO2" s="13">
        <v>39.0</v>
      </c>
      <c r="BP2" s="13">
        <v>40.0</v>
      </c>
      <c r="BQ2" s="13">
        <v>41.0</v>
      </c>
      <c r="BR2" s="13">
        <v>42.0</v>
      </c>
      <c r="BS2" s="13">
        <v>43.0</v>
      </c>
      <c r="BT2" s="13">
        <v>44.0</v>
      </c>
      <c r="BU2" s="13">
        <v>45.0</v>
      </c>
      <c r="BV2" s="13">
        <v>46.0</v>
      </c>
      <c r="BW2" s="13">
        <v>47.0</v>
      </c>
      <c r="BX2" s="13">
        <v>48.0</v>
      </c>
      <c r="BY2" s="13">
        <v>49.0</v>
      </c>
      <c r="BZ2" s="13">
        <v>50.0</v>
      </c>
      <c r="CA2" s="13">
        <v>51.0</v>
      </c>
      <c r="CB2" s="13">
        <v>52.0</v>
      </c>
      <c r="CC2" s="13">
        <v>53.0</v>
      </c>
      <c r="CD2" s="13">
        <v>54.0</v>
      </c>
      <c r="CE2" s="13">
        <v>55.0</v>
      </c>
      <c r="CF2" s="13">
        <v>56.0</v>
      </c>
      <c r="CG2" s="13">
        <v>57.0</v>
      </c>
      <c r="CH2" s="13">
        <v>58.0</v>
      </c>
      <c r="CI2" s="13">
        <v>59.0</v>
      </c>
      <c r="CJ2" s="13">
        <v>60.0</v>
      </c>
      <c r="CK2" s="13">
        <v>61.0</v>
      </c>
      <c r="CL2" s="13">
        <v>62.0</v>
      </c>
      <c r="CM2" s="13">
        <v>63.0</v>
      </c>
      <c r="CN2" s="13">
        <v>64.0</v>
      </c>
      <c r="CO2" s="13">
        <v>65.0</v>
      </c>
      <c r="CP2" s="13">
        <v>66.0</v>
      </c>
      <c r="CQ2" s="13">
        <v>67.0</v>
      </c>
      <c r="CR2" s="13">
        <v>68.0</v>
      </c>
    </row>
    <row r="3" ht="18.0" customHeight="1">
      <c r="A3" s="14" t="s">
        <v>2</v>
      </c>
      <c r="B3" s="2" t="str">
        <f>Summary!D29</f>
        <v>VPA - 600 - Hieu</v>
      </c>
      <c r="C3" s="15" t="s">
        <v>3</v>
      </c>
      <c r="D3" s="2" t="str">
        <f>iferror(vlookup(B3,StaffInformation!$F:$I,2,false),"")</f>
        <v/>
      </c>
      <c r="E3" s="2">
        <f>iferror(vlookup(B3,Summary!$D:$V,19,false),)</f>
        <v>0</v>
      </c>
      <c r="F3" s="1"/>
      <c r="G3" s="16"/>
      <c r="P3" s="2"/>
      <c r="Q3" s="17">
        <v>1.0</v>
      </c>
      <c r="R3" s="18" t="s">
        <v>3</v>
      </c>
      <c r="S3" s="19"/>
      <c r="T3" s="20">
        <v>0.0</v>
      </c>
      <c r="U3" s="21" t="str">
        <f t="shared" ref="U3:AA3" si="1">if(and($T3&lt;0,$T3&lt;=U$2),$A$2, )</f>
        <v/>
      </c>
      <c r="V3" s="21" t="str">
        <f t="shared" si="1"/>
        <v/>
      </c>
      <c r="W3" s="21" t="str">
        <f t="shared" si="1"/>
        <v/>
      </c>
      <c r="X3" s="21" t="str">
        <f t="shared" si="1"/>
        <v/>
      </c>
      <c r="Y3" s="21" t="str">
        <f t="shared" si="1"/>
        <v/>
      </c>
      <c r="Z3" s="21" t="str">
        <f t="shared" si="1"/>
        <v/>
      </c>
      <c r="AA3" s="21" t="str">
        <f t="shared" si="1"/>
        <v/>
      </c>
      <c r="AB3" s="20" t="str">
        <f t="shared" ref="AB3:AB27" si="4">if(T3=0,$A$3, )</f>
        <v>x</v>
      </c>
      <c r="AC3" s="19" t="str">
        <f t="shared" ref="AC3:CR3" si="2">if(and(10&gt;=$T3,$T3&gt;=AC$2),$A$4,if(and(10&lt;=$T3,$T3&gt;=AC$2),$A$5, ))</f>
        <v/>
      </c>
      <c r="AD3" s="19" t="str">
        <f t="shared" si="2"/>
        <v/>
      </c>
      <c r="AE3" s="19" t="str">
        <f t="shared" si="2"/>
        <v/>
      </c>
      <c r="AF3" s="19" t="str">
        <f t="shared" si="2"/>
        <v/>
      </c>
      <c r="AG3" s="19" t="str">
        <f t="shared" si="2"/>
        <v/>
      </c>
      <c r="AH3" s="19" t="str">
        <f t="shared" si="2"/>
        <v/>
      </c>
      <c r="AI3" s="19" t="str">
        <f t="shared" si="2"/>
        <v/>
      </c>
      <c r="AJ3" s="19" t="str">
        <f t="shared" si="2"/>
        <v/>
      </c>
      <c r="AK3" s="19" t="str">
        <f t="shared" si="2"/>
        <v/>
      </c>
      <c r="AL3" s="19" t="str">
        <f t="shared" si="2"/>
        <v/>
      </c>
      <c r="AM3" s="19" t="str">
        <f t="shared" si="2"/>
        <v/>
      </c>
      <c r="AN3" s="19" t="str">
        <f t="shared" si="2"/>
        <v/>
      </c>
      <c r="AO3" s="19" t="str">
        <f t="shared" si="2"/>
        <v/>
      </c>
      <c r="AP3" s="19" t="str">
        <f t="shared" si="2"/>
        <v/>
      </c>
      <c r="AQ3" s="19" t="str">
        <f t="shared" si="2"/>
        <v/>
      </c>
      <c r="AR3" s="19" t="str">
        <f t="shared" si="2"/>
        <v/>
      </c>
      <c r="AS3" s="19" t="str">
        <f t="shared" si="2"/>
        <v/>
      </c>
      <c r="AT3" s="19" t="str">
        <f t="shared" si="2"/>
        <v/>
      </c>
      <c r="AU3" s="19" t="str">
        <f t="shared" si="2"/>
        <v/>
      </c>
      <c r="AV3" s="19" t="str">
        <f t="shared" si="2"/>
        <v/>
      </c>
      <c r="AW3" s="19" t="str">
        <f t="shared" si="2"/>
        <v/>
      </c>
      <c r="AX3" s="19" t="str">
        <f t="shared" si="2"/>
        <v/>
      </c>
      <c r="AY3" s="19" t="str">
        <f t="shared" si="2"/>
        <v/>
      </c>
      <c r="AZ3" s="19" t="str">
        <f t="shared" si="2"/>
        <v/>
      </c>
      <c r="BA3" s="19" t="str">
        <f t="shared" si="2"/>
        <v/>
      </c>
      <c r="BB3" s="19" t="str">
        <f t="shared" si="2"/>
        <v/>
      </c>
      <c r="BC3" s="19" t="str">
        <f t="shared" si="2"/>
        <v/>
      </c>
      <c r="BD3" s="19" t="str">
        <f t="shared" si="2"/>
        <v/>
      </c>
      <c r="BE3" s="19" t="str">
        <f t="shared" si="2"/>
        <v/>
      </c>
      <c r="BF3" s="19" t="str">
        <f t="shared" si="2"/>
        <v/>
      </c>
      <c r="BG3" s="19" t="str">
        <f t="shared" si="2"/>
        <v/>
      </c>
      <c r="BH3" s="19" t="str">
        <f t="shared" si="2"/>
        <v/>
      </c>
      <c r="BI3" s="19" t="str">
        <f t="shared" si="2"/>
        <v/>
      </c>
      <c r="BJ3" s="19" t="str">
        <f t="shared" si="2"/>
        <v/>
      </c>
      <c r="BK3" s="19" t="str">
        <f t="shared" si="2"/>
        <v/>
      </c>
      <c r="BL3" s="19" t="str">
        <f t="shared" si="2"/>
        <v/>
      </c>
      <c r="BM3" s="19" t="str">
        <f t="shared" si="2"/>
        <v/>
      </c>
      <c r="BN3" s="19" t="str">
        <f t="shared" si="2"/>
        <v/>
      </c>
      <c r="BO3" s="19" t="str">
        <f t="shared" si="2"/>
        <v/>
      </c>
      <c r="BP3" s="19" t="str">
        <f t="shared" si="2"/>
        <v/>
      </c>
      <c r="BQ3" s="19" t="str">
        <f t="shared" si="2"/>
        <v/>
      </c>
      <c r="BR3" s="19" t="str">
        <f t="shared" si="2"/>
        <v/>
      </c>
      <c r="BS3" s="19" t="str">
        <f t="shared" si="2"/>
        <v/>
      </c>
      <c r="BT3" s="19" t="str">
        <f t="shared" si="2"/>
        <v/>
      </c>
      <c r="BU3" s="19" t="str">
        <f t="shared" si="2"/>
        <v/>
      </c>
      <c r="BV3" s="19" t="str">
        <f t="shared" si="2"/>
        <v/>
      </c>
      <c r="BW3" s="19" t="str">
        <f t="shared" si="2"/>
        <v/>
      </c>
      <c r="BX3" s="19" t="str">
        <f t="shared" si="2"/>
        <v/>
      </c>
      <c r="BY3" s="19" t="str">
        <f t="shared" si="2"/>
        <v/>
      </c>
      <c r="BZ3" s="19" t="str">
        <f t="shared" si="2"/>
        <v/>
      </c>
      <c r="CA3" s="19" t="str">
        <f t="shared" si="2"/>
        <v/>
      </c>
      <c r="CB3" s="19" t="str">
        <f t="shared" si="2"/>
        <v/>
      </c>
      <c r="CC3" s="19" t="str">
        <f t="shared" si="2"/>
        <v/>
      </c>
      <c r="CD3" s="19" t="str">
        <f t="shared" si="2"/>
        <v/>
      </c>
      <c r="CE3" s="19" t="str">
        <f t="shared" si="2"/>
        <v/>
      </c>
      <c r="CF3" s="19" t="str">
        <f t="shared" si="2"/>
        <v/>
      </c>
      <c r="CG3" s="19" t="str">
        <f t="shared" si="2"/>
        <v/>
      </c>
      <c r="CH3" s="19" t="str">
        <f t="shared" si="2"/>
        <v/>
      </c>
      <c r="CI3" s="19" t="str">
        <f t="shared" si="2"/>
        <v/>
      </c>
      <c r="CJ3" s="19" t="str">
        <f t="shared" si="2"/>
        <v/>
      </c>
      <c r="CK3" s="19" t="str">
        <f t="shared" si="2"/>
        <v/>
      </c>
      <c r="CL3" s="19" t="str">
        <f t="shared" si="2"/>
        <v/>
      </c>
      <c r="CM3" s="19" t="str">
        <f t="shared" si="2"/>
        <v/>
      </c>
      <c r="CN3" s="19" t="str">
        <f t="shared" si="2"/>
        <v/>
      </c>
      <c r="CO3" s="19" t="str">
        <f t="shared" si="2"/>
        <v/>
      </c>
      <c r="CP3" s="19" t="str">
        <f t="shared" si="2"/>
        <v/>
      </c>
      <c r="CQ3" s="19" t="str">
        <f t="shared" si="2"/>
        <v/>
      </c>
      <c r="CR3" s="19" t="str">
        <f t="shared" si="2"/>
        <v/>
      </c>
    </row>
    <row r="4" ht="18.75" customHeight="1">
      <c r="A4" s="1"/>
      <c r="B4" s="2" t="str">
        <f>Summary!D30</f>
        <v>VPA - 600 - Dat</v>
      </c>
      <c r="C4" s="15" t="s">
        <v>4</v>
      </c>
      <c r="D4" s="2" t="str">
        <f>iferror(vlookup(B4,StaffInformation!$F:$I,2,false),"")</f>
        <v/>
      </c>
      <c r="E4" s="2">
        <f>iferror(vlookup(B4,Summary!$D:$V,19,false),)</f>
        <v>0</v>
      </c>
      <c r="F4" s="1"/>
      <c r="G4" s="22"/>
      <c r="P4" s="8"/>
      <c r="Q4" s="23">
        <v>2.0</v>
      </c>
      <c r="R4" s="24" t="s">
        <v>4</v>
      </c>
      <c r="S4" s="19"/>
      <c r="T4" s="20">
        <v>0.0</v>
      </c>
      <c r="U4" s="21" t="str">
        <f t="shared" ref="U4:AA4" si="3">if(and($T4&lt;0,$T4&lt;=U$2),$A$2, )</f>
        <v/>
      </c>
      <c r="V4" s="21" t="str">
        <f t="shared" si="3"/>
        <v/>
      </c>
      <c r="W4" s="21" t="str">
        <f t="shared" si="3"/>
        <v/>
      </c>
      <c r="X4" s="21" t="str">
        <f t="shared" si="3"/>
        <v/>
      </c>
      <c r="Y4" s="21" t="str">
        <f t="shared" si="3"/>
        <v/>
      </c>
      <c r="Z4" s="21" t="str">
        <f t="shared" si="3"/>
        <v/>
      </c>
      <c r="AA4" s="21" t="str">
        <f t="shared" si="3"/>
        <v/>
      </c>
      <c r="AB4" s="20" t="str">
        <f t="shared" si="4"/>
        <v>x</v>
      </c>
      <c r="AC4" s="19" t="str">
        <f t="shared" ref="AC4:CR4" si="5">if(and(10&gt;=$T4,$T4&gt;=AC$2),$A$4,if(and(10&lt;=$T4,$T4&gt;=AC$2),$A$5, ))</f>
        <v/>
      </c>
      <c r="AD4" s="19" t="str">
        <f t="shared" si="5"/>
        <v/>
      </c>
      <c r="AE4" s="19" t="str">
        <f t="shared" si="5"/>
        <v/>
      </c>
      <c r="AF4" s="19" t="str">
        <f t="shared" si="5"/>
        <v/>
      </c>
      <c r="AG4" s="19" t="str">
        <f t="shared" si="5"/>
        <v/>
      </c>
      <c r="AH4" s="19" t="str">
        <f t="shared" si="5"/>
        <v/>
      </c>
      <c r="AI4" s="19" t="str">
        <f t="shared" si="5"/>
        <v/>
      </c>
      <c r="AJ4" s="19" t="str">
        <f t="shared" si="5"/>
        <v/>
      </c>
      <c r="AK4" s="19" t="str">
        <f t="shared" si="5"/>
        <v/>
      </c>
      <c r="AL4" s="19" t="str">
        <f t="shared" si="5"/>
        <v/>
      </c>
      <c r="AM4" s="19" t="str">
        <f t="shared" si="5"/>
        <v/>
      </c>
      <c r="AN4" s="19" t="str">
        <f t="shared" si="5"/>
        <v/>
      </c>
      <c r="AO4" s="19" t="str">
        <f t="shared" si="5"/>
        <v/>
      </c>
      <c r="AP4" s="19" t="str">
        <f t="shared" si="5"/>
        <v/>
      </c>
      <c r="AQ4" s="19" t="str">
        <f t="shared" si="5"/>
        <v/>
      </c>
      <c r="AR4" s="19" t="str">
        <f t="shared" si="5"/>
        <v/>
      </c>
      <c r="AS4" s="19" t="str">
        <f t="shared" si="5"/>
        <v/>
      </c>
      <c r="AT4" s="19" t="str">
        <f t="shared" si="5"/>
        <v/>
      </c>
      <c r="AU4" s="19" t="str">
        <f t="shared" si="5"/>
        <v/>
      </c>
      <c r="AV4" s="19" t="str">
        <f t="shared" si="5"/>
        <v/>
      </c>
      <c r="AW4" s="19" t="str">
        <f t="shared" si="5"/>
        <v/>
      </c>
      <c r="AX4" s="19" t="str">
        <f t="shared" si="5"/>
        <v/>
      </c>
      <c r="AY4" s="19" t="str">
        <f t="shared" si="5"/>
        <v/>
      </c>
      <c r="AZ4" s="19" t="str">
        <f t="shared" si="5"/>
        <v/>
      </c>
      <c r="BA4" s="19" t="str">
        <f t="shared" si="5"/>
        <v/>
      </c>
      <c r="BB4" s="19" t="str">
        <f t="shared" si="5"/>
        <v/>
      </c>
      <c r="BC4" s="19" t="str">
        <f t="shared" si="5"/>
        <v/>
      </c>
      <c r="BD4" s="19" t="str">
        <f t="shared" si="5"/>
        <v/>
      </c>
      <c r="BE4" s="19" t="str">
        <f t="shared" si="5"/>
        <v/>
      </c>
      <c r="BF4" s="19" t="str">
        <f t="shared" si="5"/>
        <v/>
      </c>
      <c r="BG4" s="19" t="str">
        <f t="shared" si="5"/>
        <v/>
      </c>
      <c r="BH4" s="19" t="str">
        <f t="shared" si="5"/>
        <v/>
      </c>
      <c r="BI4" s="19" t="str">
        <f t="shared" si="5"/>
        <v/>
      </c>
      <c r="BJ4" s="19" t="str">
        <f t="shared" si="5"/>
        <v/>
      </c>
      <c r="BK4" s="19" t="str">
        <f t="shared" si="5"/>
        <v/>
      </c>
      <c r="BL4" s="19" t="str">
        <f t="shared" si="5"/>
        <v/>
      </c>
      <c r="BM4" s="19" t="str">
        <f t="shared" si="5"/>
        <v/>
      </c>
      <c r="BN4" s="19" t="str">
        <f t="shared" si="5"/>
        <v/>
      </c>
      <c r="BO4" s="19" t="str">
        <f t="shared" si="5"/>
        <v/>
      </c>
      <c r="BP4" s="19" t="str">
        <f t="shared" si="5"/>
        <v/>
      </c>
      <c r="BQ4" s="19" t="str">
        <f t="shared" si="5"/>
        <v/>
      </c>
      <c r="BR4" s="19" t="str">
        <f t="shared" si="5"/>
        <v/>
      </c>
      <c r="BS4" s="19" t="str">
        <f t="shared" si="5"/>
        <v/>
      </c>
      <c r="BT4" s="19" t="str">
        <f t="shared" si="5"/>
        <v/>
      </c>
      <c r="BU4" s="19" t="str">
        <f t="shared" si="5"/>
        <v/>
      </c>
      <c r="BV4" s="19" t="str">
        <f t="shared" si="5"/>
        <v/>
      </c>
      <c r="BW4" s="19" t="str">
        <f t="shared" si="5"/>
        <v/>
      </c>
      <c r="BX4" s="19" t="str">
        <f t="shared" si="5"/>
        <v/>
      </c>
      <c r="BY4" s="19" t="str">
        <f t="shared" si="5"/>
        <v/>
      </c>
      <c r="BZ4" s="19" t="str">
        <f t="shared" si="5"/>
        <v/>
      </c>
      <c r="CA4" s="19" t="str">
        <f t="shared" si="5"/>
        <v/>
      </c>
      <c r="CB4" s="19" t="str">
        <f t="shared" si="5"/>
        <v/>
      </c>
      <c r="CC4" s="19" t="str">
        <f t="shared" si="5"/>
        <v/>
      </c>
      <c r="CD4" s="19" t="str">
        <f t="shared" si="5"/>
        <v/>
      </c>
      <c r="CE4" s="19" t="str">
        <f t="shared" si="5"/>
        <v/>
      </c>
      <c r="CF4" s="19" t="str">
        <f t="shared" si="5"/>
        <v/>
      </c>
      <c r="CG4" s="19" t="str">
        <f t="shared" si="5"/>
        <v/>
      </c>
      <c r="CH4" s="19" t="str">
        <f t="shared" si="5"/>
        <v/>
      </c>
      <c r="CI4" s="19" t="str">
        <f t="shared" si="5"/>
        <v/>
      </c>
      <c r="CJ4" s="19" t="str">
        <f t="shared" si="5"/>
        <v/>
      </c>
      <c r="CK4" s="19" t="str">
        <f t="shared" si="5"/>
        <v/>
      </c>
      <c r="CL4" s="19" t="str">
        <f t="shared" si="5"/>
        <v/>
      </c>
      <c r="CM4" s="19" t="str">
        <f t="shared" si="5"/>
        <v/>
      </c>
      <c r="CN4" s="19" t="str">
        <f t="shared" si="5"/>
        <v/>
      </c>
      <c r="CO4" s="19" t="str">
        <f t="shared" si="5"/>
        <v/>
      </c>
      <c r="CP4" s="19" t="str">
        <f t="shared" si="5"/>
        <v/>
      </c>
      <c r="CQ4" s="19" t="str">
        <f t="shared" si="5"/>
        <v/>
      </c>
      <c r="CR4" s="19" t="str">
        <f t="shared" si="5"/>
        <v/>
      </c>
    </row>
    <row r="5">
      <c r="A5" s="1"/>
      <c r="B5" s="2" t="str">
        <f>Summary!D31</f>
        <v>VPA - 600 - Trang</v>
      </c>
      <c r="C5" s="15" t="s">
        <v>5</v>
      </c>
      <c r="D5" s="2" t="str">
        <f>iferror(vlookup(B5,StaffInformation!$F:$I,2,false),"")</f>
        <v/>
      </c>
      <c r="E5" s="2">
        <f>iferror(vlookup(B5,Summary!$D:$V,19,false),)</f>
        <v>0</v>
      </c>
      <c r="F5" s="2"/>
      <c r="G5" s="25">
        <f>IFERROR(__xludf.DUMMYFUNCTION("sort(filter(Q3:S26,Q3:Q26=1),1,false)"),1.0)</f>
        <v>1</v>
      </c>
      <c r="H5" s="26" t="str">
        <f>IFERROR(__xludf.DUMMYFUNCTION("""COMPUTED_VALUE"""),"Hieu.600")</f>
        <v>Hieu.600</v>
      </c>
      <c r="I5" s="27" t="str">
        <f>IFERROR(__xludf.DUMMYFUNCTION("""COMPUTED_VALUE"""),"")</f>
        <v/>
      </c>
      <c r="O5" s="28"/>
      <c r="P5" s="8"/>
      <c r="Q5" s="29">
        <v>3.0</v>
      </c>
      <c r="R5" s="30" t="s">
        <v>5</v>
      </c>
      <c r="S5" s="19"/>
      <c r="T5" s="20">
        <v>0.0</v>
      </c>
      <c r="U5" s="21" t="str">
        <f t="shared" ref="U5:AA5" si="6">if(and($T5&lt;0,$T5&lt;=U$2),$A$2, )</f>
        <v/>
      </c>
      <c r="V5" s="21" t="str">
        <f t="shared" si="6"/>
        <v/>
      </c>
      <c r="W5" s="21" t="str">
        <f t="shared" si="6"/>
        <v/>
      </c>
      <c r="X5" s="21" t="str">
        <f t="shared" si="6"/>
        <v/>
      </c>
      <c r="Y5" s="21" t="str">
        <f t="shared" si="6"/>
        <v/>
      </c>
      <c r="Z5" s="21" t="str">
        <f t="shared" si="6"/>
        <v/>
      </c>
      <c r="AA5" s="21" t="str">
        <f t="shared" si="6"/>
        <v/>
      </c>
      <c r="AB5" s="20" t="str">
        <f t="shared" si="4"/>
        <v>x</v>
      </c>
      <c r="AC5" s="19" t="str">
        <f t="shared" ref="AC5:CR5" si="7">if(and(10&gt;=$T5,$T5&gt;=AC$2),$A$4,if(and(10&lt;=$T5,$T5&gt;=AC$2),$A$5, ))</f>
        <v/>
      </c>
      <c r="AD5" s="19" t="str">
        <f t="shared" si="7"/>
        <v/>
      </c>
      <c r="AE5" s="19" t="str">
        <f t="shared" si="7"/>
        <v/>
      </c>
      <c r="AF5" s="19" t="str">
        <f t="shared" si="7"/>
        <v/>
      </c>
      <c r="AG5" s="19" t="str">
        <f t="shared" si="7"/>
        <v/>
      </c>
      <c r="AH5" s="19" t="str">
        <f t="shared" si="7"/>
        <v/>
      </c>
      <c r="AI5" s="19" t="str">
        <f t="shared" si="7"/>
        <v/>
      </c>
      <c r="AJ5" s="19" t="str">
        <f t="shared" si="7"/>
        <v/>
      </c>
      <c r="AK5" s="19" t="str">
        <f t="shared" si="7"/>
        <v/>
      </c>
      <c r="AL5" s="19" t="str">
        <f t="shared" si="7"/>
        <v/>
      </c>
      <c r="AM5" s="19" t="str">
        <f t="shared" si="7"/>
        <v/>
      </c>
      <c r="AN5" s="19" t="str">
        <f t="shared" si="7"/>
        <v/>
      </c>
      <c r="AO5" s="19" t="str">
        <f t="shared" si="7"/>
        <v/>
      </c>
      <c r="AP5" s="19" t="str">
        <f t="shared" si="7"/>
        <v/>
      </c>
      <c r="AQ5" s="19" t="str">
        <f t="shared" si="7"/>
        <v/>
      </c>
      <c r="AR5" s="19" t="str">
        <f t="shared" si="7"/>
        <v/>
      </c>
      <c r="AS5" s="19" t="str">
        <f t="shared" si="7"/>
        <v/>
      </c>
      <c r="AT5" s="19" t="str">
        <f t="shared" si="7"/>
        <v/>
      </c>
      <c r="AU5" s="19" t="str">
        <f t="shared" si="7"/>
        <v/>
      </c>
      <c r="AV5" s="19" t="str">
        <f t="shared" si="7"/>
        <v/>
      </c>
      <c r="AW5" s="19" t="str">
        <f t="shared" si="7"/>
        <v/>
      </c>
      <c r="AX5" s="19" t="str">
        <f t="shared" si="7"/>
        <v/>
      </c>
      <c r="AY5" s="19" t="str">
        <f t="shared" si="7"/>
        <v/>
      </c>
      <c r="AZ5" s="19" t="str">
        <f t="shared" si="7"/>
        <v/>
      </c>
      <c r="BA5" s="19" t="str">
        <f t="shared" si="7"/>
        <v/>
      </c>
      <c r="BB5" s="19" t="str">
        <f t="shared" si="7"/>
        <v/>
      </c>
      <c r="BC5" s="19" t="str">
        <f t="shared" si="7"/>
        <v/>
      </c>
      <c r="BD5" s="19" t="str">
        <f t="shared" si="7"/>
        <v/>
      </c>
      <c r="BE5" s="19" t="str">
        <f t="shared" si="7"/>
        <v/>
      </c>
      <c r="BF5" s="19" t="str">
        <f t="shared" si="7"/>
        <v/>
      </c>
      <c r="BG5" s="19" t="str">
        <f t="shared" si="7"/>
        <v/>
      </c>
      <c r="BH5" s="19" t="str">
        <f t="shared" si="7"/>
        <v/>
      </c>
      <c r="BI5" s="19" t="str">
        <f t="shared" si="7"/>
        <v/>
      </c>
      <c r="BJ5" s="19" t="str">
        <f t="shared" si="7"/>
        <v/>
      </c>
      <c r="BK5" s="19" t="str">
        <f t="shared" si="7"/>
        <v/>
      </c>
      <c r="BL5" s="19" t="str">
        <f t="shared" si="7"/>
        <v/>
      </c>
      <c r="BM5" s="19" t="str">
        <f t="shared" si="7"/>
        <v/>
      </c>
      <c r="BN5" s="19" t="str">
        <f t="shared" si="7"/>
        <v/>
      </c>
      <c r="BO5" s="19" t="str">
        <f t="shared" si="7"/>
        <v/>
      </c>
      <c r="BP5" s="19" t="str">
        <f t="shared" si="7"/>
        <v/>
      </c>
      <c r="BQ5" s="19" t="str">
        <f t="shared" si="7"/>
        <v/>
      </c>
      <c r="BR5" s="19" t="str">
        <f t="shared" si="7"/>
        <v/>
      </c>
      <c r="BS5" s="19" t="str">
        <f t="shared" si="7"/>
        <v/>
      </c>
      <c r="BT5" s="19" t="str">
        <f t="shared" si="7"/>
        <v/>
      </c>
      <c r="BU5" s="19" t="str">
        <f t="shared" si="7"/>
        <v/>
      </c>
      <c r="BV5" s="19" t="str">
        <f t="shared" si="7"/>
        <v/>
      </c>
      <c r="BW5" s="19" t="str">
        <f t="shared" si="7"/>
        <v/>
      </c>
      <c r="BX5" s="19" t="str">
        <f t="shared" si="7"/>
        <v/>
      </c>
      <c r="BY5" s="19" t="str">
        <f t="shared" si="7"/>
        <v/>
      </c>
      <c r="BZ5" s="19" t="str">
        <f t="shared" si="7"/>
        <v/>
      </c>
      <c r="CA5" s="19" t="str">
        <f t="shared" si="7"/>
        <v/>
      </c>
      <c r="CB5" s="19" t="str">
        <f t="shared" si="7"/>
        <v/>
      </c>
      <c r="CC5" s="19" t="str">
        <f t="shared" si="7"/>
        <v/>
      </c>
      <c r="CD5" s="19" t="str">
        <f t="shared" si="7"/>
        <v/>
      </c>
      <c r="CE5" s="19" t="str">
        <f t="shared" si="7"/>
        <v/>
      </c>
      <c r="CF5" s="19" t="str">
        <f t="shared" si="7"/>
        <v/>
      </c>
      <c r="CG5" s="19" t="str">
        <f t="shared" si="7"/>
        <v/>
      </c>
      <c r="CH5" s="19" t="str">
        <f t="shared" si="7"/>
        <v/>
      </c>
      <c r="CI5" s="19" t="str">
        <f t="shared" si="7"/>
        <v/>
      </c>
      <c r="CJ5" s="19" t="str">
        <f t="shared" si="7"/>
        <v/>
      </c>
      <c r="CK5" s="19" t="str">
        <f t="shared" si="7"/>
        <v/>
      </c>
      <c r="CL5" s="19" t="str">
        <f t="shared" si="7"/>
        <v/>
      </c>
      <c r="CM5" s="19" t="str">
        <f t="shared" si="7"/>
        <v/>
      </c>
      <c r="CN5" s="19" t="str">
        <f t="shared" si="7"/>
        <v/>
      </c>
      <c r="CO5" s="19" t="str">
        <f t="shared" si="7"/>
        <v/>
      </c>
      <c r="CP5" s="19" t="str">
        <f t="shared" si="7"/>
        <v/>
      </c>
      <c r="CQ5" s="19" t="str">
        <f t="shared" si="7"/>
        <v/>
      </c>
      <c r="CR5" s="19" t="str">
        <f t="shared" si="7"/>
        <v/>
      </c>
    </row>
    <row r="6">
      <c r="A6" s="1"/>
      <c r="B6" s="2" t="str">
        <f>Summary!D32</f>
        <v>VPA - 600 - Duong</v>
      </c>
      <c r="C6" s="15" t="s">
        <v>6</v>
      </c>
      <c r="D6" s="2" t="str">
        <f>iferror(vlookup(B6,StaffInformation!$F:$I,2,false),"")</f>
        <v/>
      </c>
      <c r="E6" s="2">
        <f>iferror(vlookup(B6,Summary!$D:$V,19,false),)</f>
        <v>0</v>
      </c>
      <c r="F6" s="2"/>
      <c r="G6" s="31"/>
      <c r="H6" s="32"/>
      <c r="O6" s="33"/>
      <c r="P6" s="31"/>
      <c r="Q6" s="29">
        <v>4.0</v>
      </c>
      <c r="R6" s="30" t="s">
        <v>6</v>
      </c>
      <c r="S6" s="19"/>
      <c r="T6" s="20">
        <v>0.0</v>
      </c>
      <c r="U6" s="21" t="str">
        <f t="shared" ref="U6:AA6" si="8">if(and($T6&lt;0,$T6&lt;=U$2),$A$2, )</f>
        <v/>
      </c>
      <c r="V6" s="21" t="str">
        <f t="shared" si="8"/>
        <v/>
      </c>
      <c r="W6" s="21" t="str">
        <f t="shared" si="8"/>
        <v/>
      </c>
      <c r="X6" s="21" t="str">
        <f t="shared" si="8"/>
        <v/>
      </c>
      <c r="Y6" s="21" t="str">
        <f t="shared" si="8"/>
        <v/>
      </c>
      <c r="Z6" s="21" t="str">
        <f t="shared" si="8"/>
        <v/>
      </c>
      <c r="AA6" s="21" t="str">
        <f t="shared" si="8"/>
        <v/>
      </c>
      <c r="AB6" s="20" t="str">
        <f t="shared" si="4"/>
        <v>x</v>
      </c>
      <c r="AC6" s="19" t="str">
        <f t="shared" ref="AC6:CR6" si="9">if(and(10&gt;=$T6,$T6&gt;=AC$2),$A$4,if(and(10&lt;=$T6,$T6&gt;=AC$2),$A$5, ))</f>
        <v/>
      </c>
      <c r="AD6" s="19" t="str">
        <f t="shared" si="9"/>
        <v/>
      </c>
      <c r="AE6" s="19" t="str">
        <f t="shared" si="9"/>
        <v/>
      </c>
      <c r="AF6" s="19" t="str">
        <f t="shared" si="9"/>
        <v/>
      </c>
      <c r="AG6" s="19" t="str">
        <f t="shared" si="9"/>
        <v/>
      </c>
      <c r="AH6" s="19" t="str">
        <f t="shared" si="9"/>
        <v/>
      </c>
      <c r="AI6" s="19" t="str">
        <f t="shared" si="9"/>
        <v/>
      </c>
      <c r="AJ6" s="19" t="str">
        <f t="shared" si="9"/>
        <v/>
      </c>
      <c r="AK6" s="19" t="str">
        <f t="shared" si="9"/>
        <v/>
      </c>
      <c r="AL6" s="19" t="str">
        <f t="shared" si="9"/>
        <v/>
      </c>
      <c r="AM6" s="19" t="str">
        <f t="shared" si="9"/>
        <v/>
      </c>
      <c r="AN6" s="19" t="str">
        <f t="shared" si="9"/>
        <v/>
      </c>
      <c r="AO6" s="19" t="str">
        <f t="shared" si="9"/>
        <v/>
      </c>
      <c r="AP6" s="19" t="str">
        <f t="shared" si="9"/>
        <v/>
      </c>
      <c r="AQ6" s="19" t="str">
        <f t="shared" si="9"/>
        <v/>
      </c>
      <c r="AR6" s="19" t="str">
        <f t="shared" si="9"/>
        <v/>
      </c>
      <c r="AS6" s="19" t="str">
        <f t="shared" si="9"/>
        <v/>
      </c>
      <c r="AT6" s="19" t="str">
        <f t="shared" si="9"/>
        <v/>
      </c>
      <c r="AU6" s="19" t="str">
        <f t="shared" si="9"/>
        <v/>
      </c>
      <c r="AV6" s="19" t="str">
        <f t="shared" si="9"/>
        <v/>
      </c>
      <c r="AW6" s="19" t="str">
        <f t="shared" si="9"/>
        <v/>
      </c>
      <c r="AX6" s="19" t="str">
        <f t="shared" si="9"/>
        <v/>
      </c>
      <c r="AY6" s="19" t="str">
        <f t="shared" si="9"/>
        <v/>
      </c>
      <c r="AZ6" s="19" t="str">
        <f t="shared" si="9"/>
        <v/>
      </c>
      <c r="BA6" s="19" t="str">
        <f t="shared" si="9"/>
        <v/>
      </c>
      <c r="BB6" s="19" t="str">
        <f t="shared" si="9"/>
        <v/>
      </c>
      <c r="BC6" s="19" t="str">
        <f t="shared" si="9"/>
        <v/>
      </c>
      <c r="BD6" s="19" t="str">
        <f t="shared" si="9"/>
        <v/>
      </c>
      <c r="BE6" s="19" t="str">
        <f t="shared" si="9"/>
        <v/>
      </c>
      <c r="BF6" s="19" t="str">
        <f t="shared" si="9"/>
        <v/>
      </c>
      <c r="BG6" s="19" t="str">
        <f t="shared" si="9"/>
        <v/>
      </c>
      <c r="BH6" s="19" t="str">
        <f t="shared" si="9"/>
        <v/>
      </c>
      <c r="BI6" s="19" t="str">
        <f t="shared" si="9"/>
        <v/>
      </c>
      <c r="BJ6" s="19" t="str">
        <f t="shared" si="9"/>
        <v/>
      </c>
      <c r="BK6" s="19" t="str">
        <f t="shared" si="9"/>
        <v/>
      </c>
      <c r="BL6" s="19" t="str">
        <f t="shared" si="9"/>
        <v/>
      </c>
      <c r="BM6" s="19" t="str">
        <f t="shared" si="9"/>
        <v/>
      </c>
      <c r="BN6" s="19" t="str">
        <f t="shared" si="9"/>
        <v/>
      </c>
      <c r="BO6" s="19" t="str">
        <f t="shared" si="9"/>
        <v/>
      </c>
      <c r="BP6" s="19" t="str">
        <f t="shared" si="9"/>
        <v/>
      </c>
      <c r="BQ6" s="19" t="str">
        <f t="shared" si="9"/>
        <v/>
      </c>
      <c r="BR6" s="19" t="str">
        <f t="shared" si="9"/>
        <v/>
      </c>
      <c r="BS6" s="19" t="str">
        <f t="shared" si="9"/>
        <v/>
      </c>
      <c r="BT6" s="19" t="str">
        <f t="shared" si="9"/>
        <v/>
      </c>
      <c r="BU6" s="19" t="str">
        <f t="shared" si="9"/>
        <v/>
      </c>
      <c r="BV6" s="19" t="str">
        <f t="shared" si="9"/>
        <v/>
      </c>
      <c r="BW6" s="19" t="str">
        <f t="shared" si="9"/>
        <v/>
      </c>
      <c r="BX6" s="19" t="str">
        <f t="shared" si="9"/>
        <v/>
      </c>
      <c r="BY6" s="19" t="str">
        <f t="shared" si="9"/>
        <v/>
      </c>
      <c r="BZ6" s="19" t="str">
        <f t="shared" si="9"/>
        <v/>
      </c>
      <c r="CA6" s="19" t="str">
        <f t="shared" si="9"/>
        <v/>
      </c>
      <c r="CB6" s="19" t="str">
        <f t="shared" si="9"/>
        <v/>
      </c>
      <c r="CC6" s="19" t="str">
        <f t="shared" si="9"/>
        <v/>
      </c>
      <c r="CD6" s="19" t="str">
        <f t="shared" si="9"/>
        <v/>
      </c>
      <c r="CE6" s="19" t="str">
        <f t="shared" si="9"/>
        <v/>
      </c>
      <c r="CF6" s="19" t="str">
        <f t="shared" si="9"/>
        <v/>
      </c>
      <c r="CG6" s="19" t="str">
        <f t="shared" si="9"/>
        <v/>
      </c>
      <c r="CH6" s="19" t="str">
        <f t="shared" si="9"/>
        <v/>
      </c>
      <c r="CI6" s="19" t="str">
        <f t="shared" si="9"/>
        <v/>
      </c>
      <c r="CJ6" s="19" t="str">
        <f t="shared" si="9"/>
        <v/>
      </c>
      <c r="CK6" s="19" t="str">
        <f t="shared" si="9"/>
        <v/>
      </c>
      <c r="CL6" s="19" t="str">
        <f t="shared" si="9"/>
        <v/>
      </c>
      <c r="CM6" s="19" t="str">
        <f t="shared" si="9"/>
        <v/>
      </c>
      <c r="CN6" s="19" t="str">
        <f t="shared" si="9"/>
        <v/>
      </c>
      <c r="CO6" s="19" t="str">
        <f t="shared" si="9"/>
        <v/>
      </c>
      <c r="CP6" s="19" t="str">
        <f t="shared" si="9"/>
        <v/>
      </c>
      <c r="CQ6" s="19" t="str">
        <f t="shared" si="9"/>
        <v/>
      </c>
      <c r="CR6" s="19" t="str">
        <f t="shared" si="9"/>
        <v/>
      </c>
    </row>
    <row r="7">
      <c r="A7" s="2"/>
      <c r="B7" s="2" t="str">
        <f>Summary!D33</f>
        <v>VPA - 600 - Quynh</v>
      </c>
      <c r="C7" s="15" t="s">
        <v>7</v>
      </c>
      <c r="D7" s="2" t="str">
        <f>iferror(vlookup(B7,'Copy of StaffInformation'!$F:$I,2,false),"")</f>
        <v/>
      </c>
      <c r="E7" s="2">
        <f>iferror(vlookup(B7,Summary!$D:$V,19,false),)</f>
        <v>0</v>
      </c>
      <c r="F7" s="2"/>
      <c r="G7" s="25"/>
      <c r="H7" s="34"/>
      <c r="O7" s="35"/>
      <c r="P7" s="31"/>
      <c r="Q7" s="29">
        <v>5.0</v>
      </c>
      <c r="R7" s="30" t="s">
        <v>7</v>
      </c>
      <c r="S7" s="19" t="s">
        <v>8</v>
      </c>
      <c r="T7" s="20">
        <v>0.0</v>
      </c>
      <c r="U7" s="21" t="str">
        <f t="shared" ref="U7:AA7" si="10">if(and($T7&lt;0,$T7&lt;=U$2),$A$2, )</f>
        <v/>
      </c>
      <c r="V7" s="21" t="str">
        <f t="shared" si="10"/>
        <v/>
      </c>
      <c r="W7" s="21" t="str">
        <f t="shared" si="10"/>
        <v/>
      </c>
      <c r="X7" s="21" t="str">
        <f t="shared" si="10"/>
        <v/>
      </c>
      <c r="Y7" s="21" t="str">
        <f t="shared" si="10"/>
        <v/>
      </c>
      <c r="Z7" s="21" t="str">
        <f t="shared" si="10"/>
        <v/>
      </c>
      <c r="AA7" s="21" t="str">
        <f t="shared" si="10"/>
        <v/>
      </c>
      <c r="AB7" s="20" t="str">
        <f t="shared" si="4"/>
        <v>x</v>
      </c>
      <c r="AC7" s="19" t="str">
        <f t="shared" ref="AC7:CR7" si="11">if(and(10&gt;=$T7,$T7&gt;=AC$2),$A$4,if(and(10&lt;=$T7,$T7&gt;=AC$2),$A$5, ))</f>
        <v/>
      </c>
      <c r="AD7" s="19" t="str">
        <f t="shared" si="11"/>
        <v/>
      </c>
      <c r="AE7" s="19" t="str">
        <f t="shared" si="11"/>
        <v/>
      </c>
      <c r="AF7" s="19" t="str">
        <f t="shared" si="11"/>
        <v/>
      </c>
      <c r="AG7" s="19" t="str">
        <f t="shared" si="11"/>
        <v/>
      </c>
      <c r="AH7" s="19" t="str">
        <f t="shared" si="11"/>
        <v/>
      </c>
      <c r="AI7" s="19" t="str">
        <f t="shared" si="11"/>
        <v/>
      </c>
      <c r="AJ7" s="19" t="str">
        <f t="shared" si="11"/>
        <v/>
      </c>
      <c r="AK7" s="19" t="str">
        <f t="shared" si="11"/>
        <v/>
      </c>
      <c r="AL7" s="19" t="str">
        <f t="shared" si="11"/>
        <v/>
      </c>
      <c r="AM7" s="19" t="str">
        <f t="shared" si="11"/>
        <v/>
      </c>
      <c r="AN7" s="19" t="str">
        <f t="shared" si="11"/>
        <v/>
      </c>
      <c r="AO7" s="19" t="str">
        <f t="shared" si="11"/>
        <v/>
      </c>
      <c r="AP7" s="19" t="str">
        <f t="shared" si="11"/>
        <v/>
      </c>
      <c r="AQ7" s="19" t="str">
        <f t="shared" si="11"/>
        <v/>
      </c>
      <c r="AR7" s="19" t="str">
        <f t="shared" si="11"/>
        <v/>
      </c>
      <c r="AS7" s="19" t="str">
        <f t="shared" si="11"/>
        <v/>
      </c>
      <c r="AT7" s="19" t="str">
        <f t="shared" si="11"/>
        <v/>
      </c>
      <c r="AU7" s="19" t="str">
        <f t="shared" si="11"/>
        <v/>
      </c>
      <c r="AV7" s="19" t="str">
        <f t="shared" si="11"/>
        <v/>
      </c>
      <c r="AW7" s="19" t="str">
        <f t="shared" si="11"/>
        <v/>
      </c>
      <c r="AX7" s="19" t="str">
        <f t="shared" si="11"/>
        <v/>
      </c>
      <c r="AY7" s="19" t="str">
        <f t="shared" si="11"/>
        <v/>
      </c>
      <c r="AZ7" s="19" t="str">
        <f t="shared" si="11"/>
        <v/>
      </c>
      <c r="BA7" s="19" t="str">
        <f t="shared" si="11"/>
        <v/>
      </c>
      <c r="BB7" s="19" t="str">
        <f t="shared" si="11"/>
        <v/>
      </c>
      <c r="BC7" s="19" t="str">
        <f t="shared" si="11"/>
        <v/>
      </c>
      <c r="BD7" s="19" t="str">
        <f t="shared" si="11"/>
        <v/>
      </c>
      <c r="BE7" s="19" t="str">
        <f t="shared" si="11"/>
        <v/>
      </c>
      <c r="BF7" s="19" t="str">
        <f t="shared" si="11"/>
        <v/>
      </c>
      <c r="BG7" s="19" t="str">
        <f t="shared" si="11"/>
        <v/>
      </c>
      <c r="BH7" s="19" t="str">
        <f t="shared" si="11"/>
        <v/>
      </c>
      <c r="BI7" s="19" t="str">
        <f t="shared" si="11"/>
        <v/>
      </c>
      <c r="BJ7" s="19" t="str">
        <f t="shared" si="11"/>
        <v/>
      </c>
      <c r="BK7" s="19" t="str">
        <f t="shared" si="11"/>
        <v/>
      </c>
      <c r="BL7" s="19" t="str">
        <f t="shared" si="11"/>
        <v/>
      </c>
      <c r="BM7" s="19" t="str">
        <f t="shared" si="11"/>
        <v/>
      </c>
      <c r="BN7" s="19" t="str">
        <f t="shared" si="11"/>
        <v/>
      </c>
      <c r="BO7" s="19" t="str">
        <f t="shared" si="11"/>
        <v/>
      </c>
      <c r="BP7" s="19" t="str">
        <f t="shared" si="11"/>
        <v/>
      </c>
      <c r="BQ7" s="19" t="str">
        <f t="shared" si="11"/>
        <v/>
      </c>
      <c r="BR7" s="19" t="str">
        <f t="shared" si="11"/>
        <v/>
      </c>
      <c r="BS7" s="19" t="str">
        <f t="shared" si="11"/>
        <v/>
      </c>
      <c r="BT7" s="19" t="str">
        <f t="shared" si="11"/>
        <v/>
      </c>
      <c r="BU7" s="19" t="str">
        <f t="shared" si="11"/>
        <v/>
      </c>
      <c r="BV7" s="19" t="str">
        <f t="shared" si="11"/>
        <v/>
      </c>
      <c r="BW7" s="19" t="str">
        <f t="shared" si="11"/>
        <v/>
      </c>
      <c r="BX7" s="19" t="str">
        <f t="shared" si="11"/>
        <v/>
      </c>
      <c r="BY7" s="19" t="str">
        <f t="shared" si="11"/>
        <v/>
      </c>
      <c r="BZ7" s="19" t="str">
        <f t="shared" si="11"/>
        <v/>
      </c>
      <c r="CA7" s="19" t="str">
        <f t="shared" si="11"/>
        <v/>
      </c>
      <c r="CB7" s="19" t="str">
        <f t="shared" si="11"/>
        <v/>
      </c>
      <c r="CC7" s="19" t="str">
        <f t="shared" si="11"/>
        <v/>
      </c>
      <c r="CD7" s="19" t="str">
        <f t="shared" si="11"/>
        <v/>
      </c>
      <c r="CE7" s="19" t="str">
        <f t="shared" si="11"/>
        <v/>
      </c>
      <c r="CF7" s="19" t="str">
        <f t="shared" si="11"/>
        <v/>
      </c>
      <c r="CG7" s="19" t="str">
        <f t="shared" si="11"/>
        <v/>
      </c>
      <c r="CH7" s="19" t="str">
        <f t="shared" si="11"/>
        <v/>
      </c>
      <c r="CI7" s="19" t="str">
        <f t="shared" si="11"/>
        <v/>
      </c>
      <c r="CJ7" s="19" t="str">
        <f t="shared" si="11"/>
        <v/>
      </c>
      <c r="CK7" s="19" t="str">
        <f t="shared" si="11"/>
        <v/>
      </c>
      <c r="CL7" s="19" t="str">
        <f t="shared" si="11"/>
        <v/>
      </c>
      <c r="CM7" s="19" t="str">
        <f t="shared" si="11"/>
        <v/>
      </c>
      <c r="CN7" s="19" t="str">
        <f t="shared" si="11"/>
        <v/>
      </c>
      <c r="CO7" s="19" t="str">
        <f t="shared" si="11"/>
        <v/>
      </c>
      <c r="CP7" s="19" t="str">
        <f t="shared" si="11"/>
        <v/>
      </c>
      <c r="CQ7" s="19" t="str">
        <f t="shared" si="11"/>
        <v/>
      </c>
      <c r="CR7" s="19" t="str">
        <f t="shared" si="11"/>
        <v/>
      </c>
    </row>
    <row r="8">
      <c r="A8" s="2"/>
      <c r="B8" s="2" t="str">
        <f>Summary!D34</f>
        <v>VPA - 600 - Lam</v>
      </c>
      <c r="C8" s="15" t="s">
        <v>9</v>
      </c>
      <c r="D8" s="2" t="str">
        <f>iferror(vlookup(B8,StaffInformation!$F:$I,2,false),"")</f>
        <v/>
      </c>
      <c r="E8" s="2">
        <f>iferror(vlookup(B8,Summary!$D:$V,19,false),)</f>
        <v>0</v>
      </c>
      <c r="F8" s="2"/>
      <c r="G8" s="25"/>
      <c r="H8" s="34"/>
      <c r="O8" s="35"/>
      <c r="P8" s="31"/>
      <c r="Q8" s="29">
        <v>6.0</v>
      </c>
      <c r="R8" s="30" t="s">
        <v>9</v>
      </c>
      <c r="S8" s="19"/>
      <c r="T8" s="20">
        <v>0.0</v>
      </c>
      <c r="U8" s="21" t="str">
        <f t="shared" ref="U8:AA8" si="12">if(and($T8&lt;0,$T8&lt;=U$2),$A$2, )</f>
        <v/>
      </c>
      <c r="V8" s="21" t="str">
        <f t="shared" si="12"/>
        <v/>
      </c>
      <c r="W8" s="21" t="str">
        <f t="shared" si="12"/>
        <v/>
      </c>
      <c r="X8" s="21" t="str">
        <f t="shared" si="12"/>
        <v/>
      </c>
      <c r="Y8" s="21" t="str">
        <f t="shared" si="12"/>
        <v/>
      </c>
      <c r="Z8" s="21" t="str">
        <f t="shared" si="12"/>
        <v/>
      </c>
      <c r="AA8" s="21" t="str">
        <f t="shared" si="12"/>
        <v/>
      </c>
      <c r="AB8" s="20" t="str">
        <f t="shared" si="4"/>
        <v>x</v>
      </c>
      <c r="AC8" s="19" t="str">
        <f t="shared" ref="AC8:CR8" si="13">if(and(10&gt;=$T8,$T8&gt;=AC$2),$A$4,if(and(10&lt;=$T8,$T8&gt;=AC$2),$A$5, ))</f>
        <v/>
      </c>
      <c r="AD8" s="19" t="str">
        <f t="shared" si="13"/>
        <v/>
      </c>
      <c r="AE8" s="19" t="str">
        <f t="shared" si="13"/>
        <v/>
      </c>
      <c r="AF8" s="19" t="str">
        <f t="shared" si="13"/>
        <v/>
      </c>
      <c r="AG8" s="19" t="str">
        <f t="shared" si="13"/>
        <v/>
      </c>
      <c r="AH8" s="19" t="str">
        <f t="shared" si="13"/>
        <v/>
      </c>
      <c r="AI8" s="19" t="str">
        <f t="shared" si="13"/>
        <v/>
      </c>
      <c r="AJ8" s="19" t="str">
        <f t="shared" si="13"/>
        <v/>
      </c>
      <c r="AK8" s="19" t="str">
        <f t="shared" si="13"/>
        <v/>
      </c>
      <c r="AL8" s="19" t="str">
        <f t="shared" si="13"/>
        <v/>
      </c>
      <c r="AM8" s="19" t="str">
        <f t="shared" si="13"/>
        <v/>
      </c>
      <c r="AN8" s="19" t="str">
        <f t="shared" si="13"/>
        <v/>
      </c>
      <c r="AO8" s="19" t="str">
        <f t="shared" si="13"/>
        <v/>
      </c>
      <c r="AP8" s="19" t="str">
        <f t="shared" si="13"/>
        <v/>
      </c>
      <c r="AQ8" s="19" t="str">
        <f t="shared" si="13"/>
        <v/>
      </c>
      <c r="AR8" s="19" t="str">
        <f t="shared" si="13"/>
        <v/>
      </c>
      <c r="AS8" s="19" t="str">
        <f t="shared" si="13"/>
        <v/>
      </c>
      <c r="AT8" s="19" t="str">
        <f t="shared" si="13"/>
        <v/>
      </c>
      <c r="AU8" s="19" t="str">
        <f t="shared" si="13"/>
        <v/>
      </c>
      <c r="AV8" s="19" t="str">
        <f t="shared" si="13"/>
        <v/>
      </c>
      <c r="AW8" s="19" t="str">
        <f t="shared" si="13"/>
        <v/>
      </c>
      <c r="AX8" s="19" t="str">
        <f t="shared" si="13"/>
        <v/>
      </c>
      <c r="AY8" s="19" t="str">
        <f t="shared" si="13"/>
        <v/>
      </c>
      <c r="AZ8" s="19" t="str">
        <f t="shared" si="13"/>
        <v/>
      </c>
      <c r="BA8" s="19" t="str">
        <f t="shared" si="13"/>
        <v/>
      </c>
      <c r="BB8" s="19" t="str">
        <f t="shared" si="13"/>
        <v/>
      </c>
      <c r="BC8" s="19" t="str">
        <f t="shared" si="13"/>
        <v/>
      </c>
      <c r="BD8" s="19" t="str">
        <f t="shared" si="13"/>
        <v/>
      </c>
      <c r="BE8" s="19" t="str">
        <f t="shared" si="13"/>
        <v/>
      </c>
      <c r="BF8" s="19" t="str">
        <f t="shared" si="13"/>
        <v/>
      </c>
      <c r="BG8" s="19" t="str">
        <f t="shared" si="13"/>
        <v/>
      </c>
      <c r="BH8" s="19" t="str">
        <f t="shared" si="13"/>
        <v/>
      </c>
      <c r="BI8" s="19" t="str">
        <f t="shared" si="13"/>
        <v/>
      </c>
      <c r="BJ8" s="19" t="str">
        <f t="shared" si="13"/>
        <v/>
      </c>
      <c r="BK8" s="19" t="str">
        <f t="shared" si="13"/>
        <v/>
      </c>
      <c r="BL8" s="19" t="str">
        <f t="shared" si="13"/>
        <v/>
      </c>
      <c r="BM8" s="19" t="str">
        <f t="shared" si="13"/>
        <v/>
      </c>
      <c r="BN8" s="19" t="str">
        <f t="shared" si="13"/>
        <v/>
      </c>
      <c r="BO8" s="19" t="str">
        <f t="shared" si="13"/>
        <v/>
      </c>
      <c r="BP8" s="19" t="str">
        <f t="shared" si="13"/>
        <v/>
      </c>
      <c r="BQ8" s="19" t="str">
        <f t="shared" si="13"/>
        <v/>
      </c>
      <c r="BR8" s="19" t="str">
        <f t="shared" si="13"/>
        <v/>
      </c>
      <c r="BS8" s="19" t="str">
        <f t="shared" si="13"/>
        <v/>
      </c>
      <c r="BT8" s="19" t="str">
        <f t="shared" si="13"/>
        <v/>
      </c>
      <c r="BU8" s="19" t="str">
        <f t="shared" si="13"/>
        <v/>
      </c>
      <c r="BV8" s="19" t="str">
        <f t="shared" si="13"/>
        <v/>
      </c>
      <c r="BW8" s="19" t="str">
        <f t="shared" si="13"/>
        <v/>
      </c>
      <c r="BX8" s="19" t="str">
        <f t="shared" si="13"/>
        <v/>
      </c>
      <c r="BY8" s="19" t="str">
        <f t="shared" si="13"/>
        <v/>
      </c>
      <c r="BZ8" s="19" t="str">
        <f t="shared" si="13"/>
        <v/>
      </c>
      <c r="CA8" s="19" t="str">
        <f t="shared" si="13"/>
        <v/>
      </c>
      <c r="CB8" s="19" t="str">
        <f t="shared" si="13"/>
        <v/>
      </c>
      <c r="CC8" s="19" t="str">
        <f t="shared" si="13"/>
        <v/>
      </c>
      <c r="CD8" s="19" t="str">
        <f t="shared" si="13"/>
        <v/>
      </c>
      <c r="CE8" s="19" t="str">
        <f t="shared" si="13"/>
        <v/>
      </c>
      <c r="CF8" s="19" t="str">
        <f t="shared" si="13"/>
        <v/>
      </c>
      <c r="CG8" s="19" t="str">
        <f t="shared" si="13"/>
        <v/>
      </c>
      <c r="CH8" s="19" t="str">
        <f t="shared" si="13"/>
        <v/>
      </c>
      <c r="CI8" s="19" t="str">
        <f t="shared" si="13"/>
        <v/>
      </c>
      <c r="CJ8" s="19" t="str">
        <f t="shared" si="13"/>
        <v/>
      </c>
      <c r="CK8" s="19" t="str">
        <f t="shared" si="13"/>
        <v/>
      </c>
      <c r="CL8" s="19" t="str">
        <f t="shared" si="13"/>
        <v/>
      </c>
      <c r="CM8" s="19" t="str">
        <f t="shared" si="13"/>
        <v/>
      </c>
      <c r="CN8" s="19" t="str">
        <f t="shared" si="13"/>
        <v/>
      </c>
      <c r="CO8" s="19" t="str">
        <f t="shared" si="13"/>
        <v/>
      </c>
      <c r="CP8" s="19" t="str">
        <f t="shared" si="13"/>
        <v/>
      </c>
      <c r="CQ8" s="19" t="str">
        <f t="shared" si="13"/>
        <v/>
      </c>
      <c r="CR8" s="19" t="str">
        <f t="shared" si="13"/>
        <v/>
      </c>
    </row>
    <row r="9">
      <c r="A9" s="2"/>
      <c r="B9" s="2" t="str">
        <f>Summary!D35</f>
        <v>VPA - 600 - Huyen</v>
      </c>
      <c r="C9" s="15" t="s">
        <v>10</v>
      </c>
      <c r="D9" s="2" t="str">
        <f>iferror(vlookup(B9,StaffInformation!$F:$I,2,false),"")</f>
        <v/>
      </c>
      <c r="E9" s="2">
        <f>iferror(vlookup(B9,Summary!$D:$V,19,false),)</f>
        <v>0</v>
      </c>
      <c r="F9" s="2"/>
      <c r="G9" s="25"/>
      <c r="H9" s="34"/>
      <c r="O9" s="36"/>
      <c r="P9" s="37"/>
      <c r="Q9" s="29">
        <v>7.0</v>
      </c>
      <c r="R9" s="30" t="s">
        <v>10</v>
      </c>
      <c r="S9" s="19"/>
      <c r="T9" s="20">
        <v>0.0</v>
      </c>
      <c r="U9" s="21" t="str">
        <f t="shared" ref="U9:AA9" si="14">if(and($T9&lt;0,$T9&lt;=U$2),$A$2, )</f>
        <v/>
      </c>
      <c r="V9" s="21" t="str">
        <f t="shared" si="14"/>
        <v/>
      </c>
      <c r="W9" s="21" t="str">
        <f t="shared" si="14"/>
        <v/>
      </c>
      <c r="X9" s="21" t="str">
        <f t="shared" si="14"/>
        <v/>
      </c>
      <c r="Y9" s="21" t="str">
        <f t="shared" si="14"/>
        <v/>
      </c>
      <c r="Z9" s="21" t="str">
        <f t="shared" si="14"/>
        <v/>
      </c>
      <c r="AA9" s="21" t="str">
        <f t="shared" si="14"/>
        <v/>
      </c>
      <c r="AB9" s="20" t="str">
        <f t="shared" si="4"/>
        <v>x</v>
      </c>
      <c r="AC9" s="19" t="str">
        <f t="shared" ref="AC9:CR9" si="15">if(and(10&gt;=$T9,$T9&gt;=AC$2),$A$4,if(and(10&lt;=$T9,$T9&gt;=AC$2),$A$5, ))</f>
        <v/>
      </c>
      <c r="AD9" s="19" t="str">
        <f t="shared" si="15"/>
        <v/>
      </c>
      <c r="AE9" s="19" t="str">
        <f t="shared" si="15"/>
        <v/>
      </c>
      <c r="AF9" s="19" t="str">
        <f t="shared" si="15"/>
        <v/>
      </c>
      <c r="AG9" s="19" t="str">
        <f t="shared" si="15"/>
        <v/>
      </c>
      <c r="AH9" s="19" t="str">
        <f t="shared" si="15"/>
        <v/>
      </c>
      <c r="AI9" s="19" t="str">
        <f t="shared" si="15"/>
        <v/>
      </c>
      <c r="AJ9" s="19" t="str">
        <f t="shared" si="15"/>
        <v/>
      </c>
      <c r="AK9" s="19" t="str">
        <f t="shared" si="15"/>
        <v/>
      </c>
      <c r="AL9" s="19" t="str">
        <f t="shared" si="15"/>
        <v/>
      </c>
      <c r="AM9" s="19" t="str">
        <f t="shared" si="15"/>
        <v/>
      </c>
      <c r="AN9" s="19" t="str">
        <f t="shared" si="15"/>
        <v/>
      </c>
      <c r="AO9" s="19" t="str">
        <f t="shared" si="15"/>
        <v/>
      </c>
      <c r="AP9" s="19" t="str">
        <f t="shared" si="15"/>
        <v/>
      </c>
      <c r="AQ9" s="19" t="str">
        <f t="shared" si="15"/>
        <v/>
      </c>
      <c r="AR9" s="19" t="str">
        <f t="shared" si="15"/>
        <v/>
      </c>
      <c r="AS9" s="19" t="str">
        <f t="shared" si="15"/>
        <v/>
      </c>
      <c r="AT9" s="19" t="str">
        <f t="shared" si="15"/>
        <v/>
      </c>
      <c r="AU9" s="19" t="str">
        <f t="shared" si="15"/>
        <v/>
      </c>
      <c r="AV9" s="19" t="str">
        <f t="shared" si="15"/>
        <v/>
      </c>
      <c r="AW9" s="19" t="str">
        <f t="shared" si="15"/>
        <v/>
      </c>
      <c r="AX9" s="19" t="str">
        <f t="shared" si="15"/>
        <v/>
      </c>
      <c r="AY9" s="19" t="str">
        <f t="shared" si="15"/>
        <v/>
      </c>
      <c r="AZ9" s="19" t="str">
        <f t="shared" si="15"/>
        <v/>
      </c>
      <c r="BA9" s="19" t="str">
        <f t="shared" si="15"/>
        <v/>
      </c>
      <c r="BB9" s="19" t="str">
        <f t="shared" si="15"/>
        <v/>
      </c>
      <c r="BC9" s="19" t="str">
        <f t="shared" si="15"/>
        <v/>
      </c>
      <c r="BD9" s="19" t="str">
        <f t="shared" si="15"/>
        <v/>
      </c>
      <c r="BE9" s="19" t="str">
        <f t="shared" si="15"/>
        <v/>
      </c>
      <c r="BF9" s="19" t="str">
        <f t="shared" si="15"/>
        <v/>
      </c>
      <c r="BG9" s="19" t="str">
        <f t="shared" si="15"/>
        <v/>
      </c>
      <c r="BH9" s="19" t="str">
        <f t="shared" si="15"/>
        <v/>
      </c>
      <c r="BI9" s="19" t="str">
        <f t="shared" si="15"/>
        <v/>
      </c>
      <c r="BJ9" s="19" t="str">
        <f t="shared" si="15"/>
        <v/>
      </c>
      <c r="BK9" s="19" t="str">
        <f t="shared" si="15"/>
        <v/>
      </c>
      <c r="BL9" s="19" t="str">
        <f t="shared" si="15"/>
        <v/>
      </c>
      <c r="BM9" s="19" t="str">
        <f t="shared" si="15"/>
        <v/>
      </c>
      <c r="BN9" s="19" t="str">
        <f t="shared" si="15"/>
        <v/>
      </c>
      <c r="BO9" s="19" t="str">
        <f t="shared" si="15"/>
        <v/>
      </c>
      <c r="BP9" s="19" t="str">
        <f t="shared" si="15"/>
        <v/>
      </c>
      <c r="BQ9" s="19" t="str">
        <f t="shared" si="15"/>
        <v/>
      </c>
      <c r="BR9" s="19" t="str">
        <f t="shared" si="15"/>
        <v/>
      </c>
      <c r="BS9" s="19" t="str">
        <f t="shared" si="15"/>
        <v/>
      </c>
      <c r="BT9" s="19" t="str">
        <f t="shared" si="15"/>
        <v/>
      </c>
      <c r="BU9" s="19" t="str">
        <f t="shared" si="15"/>
        <v/>
      </c>
      <c r="BV9" s="19" t="str">
        <f t="shared" si="15"/>
        <v/>
      </c>
      <c r="BW9" s="19" t="str">
        <f t="shared" si="15"/>
        <v/>
      </c>
      <c r="BX9" s="19" t="str">
        <f t="shared" si="15"/>
        <v/>
      </c>
      <c r="BY9" s="19" t="str">
        <f t="shared" si="15"/>
        <v/>
      </c>
      <c r="BZ9" s="19" t="str">
        <f t="shared" si="15"/>
        <v/>
      </c>
      <c r="CA9" s="19" t="str">
        <f t="shared" si="15"/>
        <v/>
      </c>
      <c r="CB9" s="19" t="str">
        <f t="shared" si="15"/>
        <v/>
      </c>
      <c r="CC9" s="19" t="str">
        <f t="shared" si="15"/>
        <v/>
      </c>
      <c r="CD9" s="19" t="str">
        <f t="shared" si="15"/>
        <v/>
      </c>
      <c r="CE9" s="19" t="str">
        <f t="shared" si="15"/>
        <v/>
      </c>
      <c r="CF9" s="19" t="str">
        <f t="shared" si="15"/>
        <v/>
      </c>
      <c r="CG9" s="19" t="str">
        <f t="shared" si="15"/>
        <v/>
      </c>
      <c r="CH9" s="19" t="str">
        <f t="shared" si="15"/>
        <v/>
      </c>
      <c r="CI9" s="19" t="str">
        <f t="shared" si="15"/>
        <v/>
      </c>
      <c r="CJ9" s="19" t="str">
        <f t="shared" si="15"/>
        <v/>
      </c>
      <c r="CK9" s="19" t="str">
        <f t="shared" si="15"/>
        <v/>
      </c>
      <c r="CL9" s="19" t="str">
        <f t="shared" si="15"/>
        <v/>
      </c>
      <c r="CM9" s="19" t="str">
        <f t="shared" si="15"/>
        <v/>
      </c>
      <c r="CN9" s="19" t="str">
        <f t="shared" si="15"/>
        <v/>
      </c>
      <c r="CO9" s="19" t="str">
        <f t="shared" si="15"/>
        <v/>
      </c>
      <c r="CP9" s="19" t="str">
        <f t="shared" si="15"/>
        <v/>
      </c>
      <c r="CQ9" s="19" t="str">
        <f t="shared" si="15"/>
        <v/>
      </c>
      <c r="CR9" s="19" t="str">
        <f t="shared" si="15"/>
        <v/>
      </c>
    </row>
    <row r="10">
      <c r="A10" s="2"/>
      <c r="B10" s="2" t="str">
        <f>Summary!D36</f>
        <v>VPA - 600 - Quan</v>
      </c>
      <c r="C10" s="15" t="s">
        <v>11</v>
      </c>
      <c r="D10" s="2" t="str">
        <f>iferror(vlookup(B10,StaffInformation!$F:$I,2,false),"")</f>
        <v/>
      </c>
      <c r="E10" s="2">
        <f>iferror(vlookup(B10,Summary!$D:$V,19,false),)</f>
        <v>0</v>
      </c>
      <c r="F10" s="2"/>
      <c r="G10" s="25"/>
      <c r="H10" s="34"/>
      <c r="O10" s="36"/>
      <c r="P10" s="37"/>
      <c r="Q10" s="29">
        <v>8.0</v>
      </c>
      <c r="R10" s="30" t="s">
        <v>11</v>
      </c>
      <c r="S10" s="19"/>
      <c r="T10" s="20">
        <v>0.0</v>
      </c>
      <c r="U10" s="21" t="str">
        <f t="shared" ref="U10:AA10" si="16">if(and($T10&lt;0,$T10&lt;=U$2),$A$2, )</f>
        <v/>
      </c>
      <c r="V10" s="21" t="str">
        <f t="shared" si="16"/>
        <v/>
      </c>
      <c r="W10" s="21" t="str">
        <f t="shared" si="16"/>
        <v/>
      </c>
      <c r="X10" s="21" t="str">
        <f t="shared" si="16"/>
        <v/>
      </c>
      <c r="Y10" s="21" t="str">
        <f t="shared" si="16"/>
        <v/>
      </c>
      <c r="Z10" s="21" t="str">
        <f t="shared" si="16"/>
        <v/>
      </c>
      <c r="AA10" s="21" t="str">
        <f t="shared" si="16"/>
        <v/>
      </c>
      <c r="AB10" s="20" t="str">
        <f t="shared" si="4"/>
        <v>x</v>
      </c>
      <c r="AC10" s="19" t="str">
        <f t="shared" ref="AC10:CR10" si="17">if(and(10&gt;=$T10,$T10&gt;=AC$2),$A$4,if(and(10&lt;=$T10,$T10&gt;=AC$2),$A$5, ))</f>
        <v/>
      </c>
      <c r="AD10" s="19" t="str">
        <f t="shared" si="17"/>
        <v/>
      </c>
      <c r="AE10" s="19" t="str">
        <f t="shared" si="17"/>
        <v/>
      </c>
      <c r="AF10" s="19" t="str">
        <f t="shared" si="17"/>
        <v/>
      </c>
      <c r="AG10" s="19" t="str">
        <f t="shared" si="17"/>
        <v/>
      </c>
      <c r="AH10" s="19" t="str">
        <f t="shared" si="17"/>
        <v/>
      </c>
      <c r="AI10" s="19" t="str">
        <f t="shared" si="17"/>
        <v/>
      </c>
      <c r="AJ10" s="19" t="str">
        <f t="shared" si="17"/>
        <v/>
      </c>
      <c r="AK10" s="19" t="str">
        <f t="shared" si="17"/>
        <v/>
      </c>
      <c r="AL10" s="19" t="str">
        <f t="shared" si="17"/>
        <v/>
      </c>
      <c r="AM10" s="19" t="str">
        <f t="shared" si="17"/>
        <v/>
      </c>
      <c r="AN10" s="19" t="str">
        <f t="shared" si="17"/>
        <v/>
      </c>
      <c r="AO10" s="19" t="str">
        <f t="shared" si="17"/>
        <v/>
      </c>
      <c r="AP10" s="19" t="str">
        <f t="shared" si="17"/>
        <v/>
      </c>
      <c r="AQ10" s="19" t="str">
        <f t="shared" si="17"/>
        <v/>
      </c>
      <c r="AR10" s="19" t="str">
        <f t="shared" si="17"/>
        <v/>
      </c>
      <c r="AS10" s="19" t="str">
        <f t="shared" si="17"/>
        <v/>
      </c>
      <c r="AT10" s="19" t="str">
        <f t="shared" si="17"/>
        <v/>
      </c>
      <c r="AU10" s="19" t="str">
        <f t="shared" si="17"/>
        <v/>
      </c>
      <c r="AV10" s="19" t="str">
        <f t="shared" si="17"/>
        <v/>
      </c>
      <c r="AW10" s="19" t="str">
        <f t="shared" si="17"/>
        <v/>
      </c>
      <c r="AX10" s="19" t="str">
        <f t="shared" si="17"/>
        <v/>
      </c>
      <c r="AY10" s="19" t="str">
        <f t="shared" si="17"/>
        <v/>
      </c>
      <c r="AZ10" s="19" t="str">
        <f t="shared" si="17"/>
        <v/>
      </c>
      <c r="BA10" s="19" t="str">
        <f t="shared" si="17"/>
        <v/>
      </c>
      <c r="BB10" s="19" t="str">
        <f t="shared" si="17"/>
        <v/>
      </c>
      <c r="BC10" s="19" t="str">
        <f t="shared" si="17"/>
        <v/>
      </c>
      <c r="BD10" s="19" t="str">
        <f t="shared" si="17"/>
        <v/>
      </c>
      <c r="BE10" s="19" t="str">
        <f t="shared" si="17"/>
        <v/>
      </c>
      <c r="BF10" s="19" t="str">
        <f t="shared" si="17"/>
        <v/>
      </c>
      <c r="BG10" s="19" t="str">
        <f t="shared" si="17"/>
        <v/>
      </c>
      <c r="BH10" s="19" t="str">
        <f t="shared" si="17"/>
        <v/>
      </c>
      <c r="BI10" s="19" t="str">
        <f t="shared" si="17"/>
        <v/>
      </c>
      <c r="BJ10" s="19" t="str">
        <f t="shared" si="17"/>
        <v/>
      </c>
      <c r="BK10" s="19" t="str">
        <f t="shared" si="17"/>
        <v/>
      </c>
      <c r="BL10" s="19" t="str">
        <f t="shared" si="17"/>
        <v/>
      </c>
      <c r="BM10" s="19" t="str">
        <f t="shared" si="17"/>
        <v/>
      </c>
      <c r="BN10" s="19" t="str">
        <f t="shared" si="17"/>
        <v/>
      </c>
      <c r="BO10" s="19" t="str">
        <f t="shared" si="17"/>
        <v/>
      </c>
      <c r="BP10" s="19" t="str">
        <f t="shared" si="17"/>
        <v/>
      </c>
      <c r="BQ10" s="19" t="str">
        <f t="shared" si="17"/>
        <v/>
      </c>
      <c r="BR10" s="19" t="str">
        <f t="shared" si="17"/>
        <v/>
      </c>
      <c r="BS10" s="19" t="str">
        <f t="shared" si="17"/>
        <v/>
      </c>
      <c r="BT10" s="19" t="str">
        <f t="shared" si="17"/>
        <v/>
      </c>
      <c r="BU10" s="19" t="str">
        <f t="shared" si="17"/>
        <v/>
      </c>
      <c r="BV10" s="19" t="str">
        <f t="shared" si="17"/>
        <v/>
      </c>
      <c r="BW10" s="19" t="str">
        <f t="shared" si="17"/>
        <v/>
      </c>
      <c r="BX10" s="19" t="str">
        <f t="shared" si="17"/>
        <v/>
      </c>
      <c r="BY10" s="19" t="str">
        <f t="shared" si="17"/>
        <v/>
      </c>
      <c r="BZ10" s="19" t="str">
        <f t="shared" si="17"/>
        <v/>
      </c>
      <c r="CA10" s="19" t="str">
        <f t="shared" si="17"/>
        <v/>
      </c>
      <c r="CB10" s="19" t="str">
        <f t="shared" si="17"/>
        <v/>
      </c>
      <c r="CC10" s="19" t="str">
        <f t="shared" si="17"/>
        <v/>
      </c>
      <c r="CD10" s="19" t="str">
        <f t="shared" si="17"/>
        <v/>
      </c>
      <c r="CE10" s="19" t="str">
        <f t="shared" si="17"/>
        <v/>
      </c>
      <c r="CF10" s="19" t="str">
        <f t="shared" si="17"/>
        <v/>
      </c>
      <c r="CG10" s="19" t="str">
        <f t="shared" si="17"/>
        <v/>
      </c>
      <c r="CH10" s="19" t="str">
        <f t="shared" si="17"/>
        <v/>
      </c>
      <c r="CI10" s="19" t="str">
        <f t="shared" si="17"/>
        <v/>
      </c>
      <c r="CJ10" s="19" t="str">
        <f t="shared" si="17"/>
        <v/>
      </c>
      <c r="CK10" s="19" t="str">
        <f t="shared" si="17"/>
        <v/>
      </c>
      <c r="CL10" s="19" t="str">
        <f t="shared" si="17"/>
        <v/>
      </c>
      <c r="CM10" s="19" t="str">
        <f t="shared" si="17"/>
        <v/>
      </c>
      <c r="CN10" s="19" t="str">
        <f t="shared" si="17"/>
        <v/>
      </c>
      <c r="CO10" s="19" t="str">
        <f t="shared" si="17"/>
        <v/>
      </c>
      <c r="CP10" s="19" t="str">
        <f t="shared" si="17"/>
        <v/>
      </c>
      <c r="CQ10" s="19" t="str">
        <f t="shared" si="17"/>
        <v/>
      </c>
      <c r="CR10" s="19" t="str">
        <f t="shared" si="17"/>
        <v/>
      </c>
    </row>
    <row r="11">
      <c r="A11" s="2"/>
      <c r="B11" s="2" t="str">
        <f>Summary!D37</f>
        <v>VPA - 500 - Giang</v>
      </c>
      <c r="C11" s="15" t="s">
        <v>12</v>
      </c>
      <c r="D11" s="2" t="str">
        <f>iferror(vlookup(B11,'Copy of StaffInformation'!$F:$I,2,false),"")</f>
        <v/>
      </c>
      <c r="E11" s="2">
        <f>iferror(vlookup(B11,Summary!$D:$V,19,false),)</f>
        <v>0</v>
      </c>
      <c r="F11" s="2"/>
      <c r="G11" s="25"/>
      <c r="H11" s="34"/>
      <c r="O11" s="36"/>
      <c r="P11" s="37"/>
      <c r="Q11" s="29">
        <v>9.0</v>
      </c>
      <c r="R11" s="30" t="s">
        <v>12</v>
      </c>
      <c r="S11" s="19" t="s">
        <v>8</v>
      </c>
      <c r="T11" s="20">
        <v>0.0</v>
      </c>
      <c r="U11" s="21" t="str">
        <f t="shared" ref="U11:AA11" si="18">if(and($T11&lt;0,$T11&lt;=U$2),$A$2, )</f>
        <v/>
      </c>
      <c r="V11" s="21" t="str">
        <f t="shared" si="18"/>
        <v/>
      </c>
      <c r="W11" s="21" t="str">
        <f t="shared" si="18"/>
        <v/>
      </c>
      <c r="X11" s="21" t="str">
        <f t="shared" si="18"/>
        <v/>
      </c>
      <c r="Y11" s="21" t="str">
        <f t="shared" si="18"/>
        <v/>
      </c>
      <c r="Z11" s="21" t="str">
        <f t="shared" si="18"/>
        <v/>
      </c>
      <c r="AA11" s="21" t="str">
        <f t="shared" si="18"/>
        <v/>
      </c>
      <c r="AB11" s="20" t="str">
        <f t="shared" si="4"/>
        <v>x</v>
      </c>
      <c r="AC11" s="19" t="str">
        <f t="shared" ref="AC11:CR11" si="19">if(and(10&gt;=$T11,$T11&gt;=AC$2),$A$4,if(and(10&lt;=$T11,$T11&gt;=AC$2),$A$5, ))</f>
        <v/>
      </c>
      <c r="AD11" s="19" t="str">
        <f t="shared" si="19"/>
        <v/>
      </c>
      <c r="AE11" s="19" t="str">
        <f t="shared" si="19"/>
        <v/>
      </c>
      <c r="AF11" s="19" t="str">
        <f t="shared" si="19"/>
        <v/>
      </c>
      <c r="AG11" s="19" t="str">
        <f t="shared" si="19"/>
        <v/>
      </c>
      <c r="AH11" s="19" t="str">
        <f t="shared" si="19"/>
        <v/>
      </c>
      <c r="AI11" s="19" t="str">
        <f t="shared" si="19"/>
        <v/>
      </c>
      <c r="AJ11" s="19" t="str">
        <f t="shared" si="19"/>
        <v/>
      </c>
      <c r="AK11" s="19" t="str">
        <f t="shared" si="19"/>
        <v/>
      </c>
      <c r="AL11" s="19" t="str">
        <f t="shared" si="19"/>
        <v/>
      </c>
      <c r="AM11" s="19" t="str">
        <f t="shared" si="19"/>
        <v/>
      </c>
      <c r="AN11" s="19" t="str">
        <f t="shared" si="19"/>
        <v/>
      </c>
      <c r="AO11" s="19" t="str">
        <f t="shared" si="19"/>
        <v/>
      </c>
      <c r="AP11" s="19" t="str">
        <f t="shared" si="19"/>
        <v/>
      </c>
      <c r="AQ11" s="19" t="str">
        <f t="shared" si="19"/>
        <v/>
      </c>
      <c r="AR11" s="19" t="str">
        <f t="shared" si="19"/>
        <v/>
      </c>
      <c r="AS11" s="19" t="str">
        <f t="shared" si="19"/>
        <v/>
      </c>
      <c r="AT11" s="19" t="str">
        <f t="shared" si="19"/>
        <v/>
      </c>
      <c r="AU11" s="19" t="str">
        <f t="shared" si="19"/>
        <v/>
      </c>
      <c r="AV11" s="19" t="str">
        <f t="shared" si="19"/>
        <v/>
      </c>
      <c r="AW11" s="19" t="str">
        <f t="shared" si="19"/>
        <v/>
      </c>
      <c r="AX11" s="19" t="str">
        <f t="shared" si="19"/>
        <v/>
      </c>
      <c r="AY11" s="19" t="str">
        <f t="shared" si="19"/>
        <v/>
      </c>
      <c r="AZ11" s="19" t="str">
        <f t="shared" si="19"/>
        <v/>
      </c>
      <c r="BA11" s="19" t="str">
        <f t="shared" si="19"/>
        <v/>
      </c>
      <c r="BB11" s="19" t="str">
        <f t="shared" si="19"/>
        <v/>
      </c>
      <c r="BC11" s="19" t="str">
        <f t="shared" si="19"/>
        <v/>
      </c>
      <c r="BD11" s="19" t="str">
        <f t="shared" si="19"/>
        <v/>
      </c>
      <c r="BE11" s="19" t="str">
        <f t="shared" si="19"/>
        <v/>
      </c>
      <c r="BF11" s="19" t="str">
        <f t="shared" si="19"/>
        <v/>
      </c>
      <c r="BG11" s="19" t="str">
        <f t="shared" si="19"/>
        <v/>
      </c>
      <c r="BH11" s="19" t="str">
        <f t="shared" si="19"/>
        <v/>
      </c>
      <c r="BI11" s="19" t="str">
        <f t="shared" si="19"/>
        <v/>
      </c>
      <c r="BJ11" s="19" t="str">
        <f t="shared" si="19"/>
        <v/>
      </c>
      <c r="BK11" s="19" t="str">
        <f t="shared" si="19"/>
        <v/>
      </c>
      <c r="BL11" s="19" t="str">
        <f t="shared" si="19"/>
        <v/>
      </c>
      <c r="BM11" s="19" t="str">
        <f t="shared" si="19"/>
        <v/>
      </c>
      <c r="BN11" s="19" t="str">
        <f t="shared" si="19"/>
        <v/>
      </c>
      <c r="BO11" s="19" t="str">
        <f t="shared" si="19"/>
        <v/>
      </c>
      <c r="BP11" s="19" t="str">
        <f t="shared" si="19"/>
        <v/>
      </c>
      <c r="BQ11" s="19" t="str">
        <f t="shared" si="19"/>
        <v/>
      </c>
      <c r="BR11" s="19" t="str">
        <f t="shared" si="19"/>
        <v/>
      </c>
      <c r="BS11" s="19" t="str">
        <f t="shared" si="19"/>
        <v/>
      </c>
      <c r="BT11" s="19" t="str">
        <f t="shared" si="19"/>
        <v/>
      </c>
      <c r="BU11" s="19" t="str">
        <f t="shared" si="19"/>
        <v/>
      </c>
      <c r="BV11" s="19" t="str">
        <f t="shared" si="19"/>
        <v/>
      </c>
      <c r="BW11" s="19" t="str">
        <f t="shared" si="19"/>
        <v/>
      </c>
      <c r="BX11" s="19" t="str">
        <f t="shared" si="19"/>
        <v/>
      </c>
      <c r="BY11" s="19" t="str">
        <f t="shared" si="19"/>
        <v/>
      </c>
      <c r="BZ11" s="19" t="str">
        <f t="shared" si="19"/>
        <v/>
      </c>
      <c r="CA11" s="19" t="str">
        <f t="shared" si="19"/>
        <v/>
      </c>
      <c r="CB11" s="19" t="str">
        <f t="shared" si="19"/>
        <v/>
      </c>
      <c r="CC11" s="19" t="str">
        <f t="shared" si="19"/>
        <v/>
      </c>
      <c r="CD11" s="19" t="str">
        <f t="shared" si="19"/>
        <v/>
      </c>
      <c r="CE11" s="19" t="str">
        <f t="shared" si="19"/>
        <v/>
      </c>
      <c r="CF11" s="19" t="str">
        <f t="shared" si="19"/>
        <v/>
      </c>
      <c r="CG11" s="19" t="str">
        <f t="shared" si="19"/>
        <v/>
      </c>
      <c r="CH11" s="19" t="str">
        <f t="shared" si="19"/>
        <v/>
      </c>
      <c r="CI11" s="19" t="str">
        <f t="shared" si="19"/>
        <v/>
      </c>
      <c r="CJ11" s="19" t="str">
        <f t="shared" si="19"/>
        <v/>
      </c>
      <c r="CK11" s="19" t="str">
        <f t="shared" si="19"/>
        <v/>
      </c>
      <c r="CL11" s="19" t="str">
        <f t="shared" si="19"/>
        <v/>
      </c>
      <c r="CM11" s="19" t="str">
        <f t="shared" si="19"/>
        <v/>
      </c>
      <c r="CN11" s="19" t="str">
        <f t="shared" si="19"/>
        <v/>
      </c>
      <c r="CO11" s="19" t="str">
        <f t="shared" si="19"/>
        <v/>
      </c>
      <c r="CP11" s="19" t="str">
        <f t="shared" si="19"/>
        <v/>
      </c>
      <c r="CQ11" s="19" t="str">
        <f t="shared" si="19"/>
        <v/>
      </c>
      <c r="CR11" s="19" t="str">
        <f t="shared" si="19"/>
        <v/>
      </c>
    </row>
    <row r="12" ht="16.5" customHeight="1">
      <c r="A12" s="2"/>
      <c r="B12" s="2" t="str">
        <f>Summary!D38</f>
        <v>VPA - Vice Director - Lan Huong</v>
      </c>
      <c r="C12" s="15" t="s">
        <v>13</v>
      </c>
      <c r="D12" s="2" t="str">
        <f>iferror(vlookup(B12,StaffInformation!$F:$I,2,false),"")</f>
        <v/>
      </c>
      <c r="E12" s="2">
        <f>iferror(vlookup(B12,Summary!$D:$V,19,false),)</f>
        <v>0</v>
      </c>
      <c r="F12" s="2"/>
      <c r="G12" s="38" t="s">
        <v>3</v>
      </c>
      <c r="H12" s="39"/>
      <c r="I12" s="40"/>
      <c r="J12" s="41"/>
      <c r="L12" s="42" t="str">
        <f>vlookup("Full Name:"&amp;$G$12,StaffInformation!$C$6:$F$1153,4,false)</f>
        <v>Bui Trung Hieu</v>
      </c>
      <c r="O12" s="43"/>
      <c r="P12" s="44"/>
      <c r="Q12" s="29">
        <v>10.0</v>
      </c>
      <c r="R12" s="30" t="s">
        <v>13</v>
      </c>
      <c r="S12" s="19"/>
      <c r="T12" s="20">
        <v>0.0</v>
      </c>
      <c r="U12" s="21" t="str">
        <f t="shared" ref="U12:AA12" si="20">if(and($T12&lt;0,$T12&lt;=U$2),$A$2, )</f>
        <v/>
      </c>
      <c r="V12" s="21" t="str">
        <f t="shared" si="20"/>
        <v/>
      </c>
      <c r="W12" s="21" t="str">
        <f t="shared" si="20"/>
        <v/>
      </c>
      <c r="X12" s="21" t="str">
        <f t="shared" si="20"/>
        <v/>
      </c>
      <c r="Y12" s="21" t="str">
        <f t="shared" si="20"/>
        <v/>
      </c>
      <c r="Z12" s="21" t="str">
        <f t="shared" si="20"/>
        <v/>
      </c>
      <c r="AA12" s="21" t="str">
        <f t="shared" si="20"/>
        <v/>
      </c>
      <c r="AB12" s="45" t="str">
        <f t="shared" si="4"/>
        <v>x</v>
      </c>
      <c r="AC12" s="19" t="str">
        <f t="shared" ref="AC12:CR12" si="21">if(and(10&gt;=$T12,$T12&gt;=AC$2),$A$4,if(and(10&lt;=$T12,$T12&gt;=AC$2),$A$5, ))</f>
        <v/>
      </c>
      <c r="AD12" s="19" t="str">
        <f t="shared" si="21"/>
        <v/>
      </c>
      <c r="AE12" s="19" t="str">
        <f t="shared" si="21"/>
        <v/>
      </c>
      <c r="AF12" s="19" t="str">
        <f t="shared" si="21"/>
        <v/>
      </c>
      <c r="AG12" s="19" t="str">
        <f t="shared" si="21"/>
        <v/>
      </c>
      <c r="AH12" s="19" t="str">
        <f t="shared" si="21"/>
        <v/>
      </c>
      <c r="AI12" s="19" t="str">
        <f t="shared" si="21"/>
        <v/>
      </c>
      <c r="AJ12" s="19" t="str">
        <f t="shared" si="21"/>
        <v/>
      </c>
      <c r="AK12" s="19" t="str">
        <f t="shared" si="21"/>
        <v/>
      </c>
      <c r="AL12" s="19" t="str">
        <f t="shared" si="21"/>
        <v/>
      </c>
      <c r="AM12" s="19" t="str">
        <f t="shared" si="21"/>
        <v/>
      </c>
      <c r="AN12" s="19" t="str">
        <f t="shared" si="21"/>
        <v/>
      </c>
      <c r="AO12" s="19" t="str">
        <f t="shared" si="21"/>
        <v/>
      </c>
      <c r="AP12" s="19" t="str">
        <f t="shared" si="21"/>
        <v/>
      </c>
      <c r="AQ12" s="19" t="str">
        <f t="shared" si="21"/>
        <v/>
      </c>
      <c r="AR12" s="19" t="str">
        <f t="shared" si="21"/>
        <v/>
      </c>
      <c r="AS12" s="19" t="str">
        <f t="shared" si="21"/>
        <v/>
      </c>
      <c r="AT12" s="19" t="str">
        <f t="shared" si="21"/>
        <v/>
      </c>
      <c r="AU12" s="19" t="str">
        <f t="shared" si="21"/>
        <v/>
      </c>
      <c r="AV12" s="19" t="str">
        <f t="shared" si="21"/>
        <v/>
      </c>
      <c r="AW12" s="19" t="str">
        <f t="shared" si="21"/>
        <v/>
      </c>
      <c r="AX12" s="19" t="str">
        <f t="shared" si="21"/>
        <v/>
      </c>
      <c r="AY12" s="19" t="str">
        <f t="shared" si="21"/>
        <v/>
      </c>
      <c r="AZ12" s="19" t="str">
        <f t="shared" si="21"/>
        <v/>
      </c>
      <c r="BA12" s="19" t="str">
        <f t="shared" si="21"/>
        <v/>
      </c>
      <c r="BB12" s="19" t="str">
        <f t="shared" si="21"/>
        <v/>
      </c>
      <c r="BC12" s="19" t="str">
        <f t="shared" si="21"/>
        <v/>
      </c>
      <c r="BD12" s="19" t="str">
        <f t="shared" si="21"/>
        <v/>
      </c>
      <c r="BE12" s="19" t="str">
        <f t="shared" si="21"/>
        <v/>
      </c>
      <c r="BF12" s="19" t="str">
        <f t="shared" si="21"/>
        <v/>
      </c>
      <c r="BG12" s="19" t="str">
        <f t="shared" si="21"/>
        <v/>
      </c>
      <c r="BH12" s="19" t="str">
        <f t="shared" si="21"/>
        <v/>
      </c>
      <c r="BI12" s="19" t="str">
        <f t="shared" si="21"/>
        <v/>
      </c>
      <c r="BJ12" s="19" t="str">
        <f t="shared" si="21"/>
        <v/>
      </c>
      <c r="BK12" s="19" t="str">
        <f t="shared" si="21"/>
        <v/>
      </c>
      <c r="BL12" s="19" t="str">
        <f t="shared" si="21"/>
        <v/>
      </c>
      <c r="BM12" s="19" t="str">
        <f t="shared" si="21"/>
        <v/>
      </c>
      <c r="BN12" s="19" t="str">
        <f t="shared" si="21"/>
        <v/>
      </c>
      <c r="BO12" s="19" t="str">
        <f t="shared" si="21"/>
        <v/>
      </c>
      <c r="BP12" s="19" t="str">
        <f t="shared" si="21"/>
        <v/>
      </c>
      <c r="BQ12" s="19" t="str">
        <f t="shared" si="21"/>
        <v/>
      </c>
      <c r="BR12" s="19" t="str">
        <f t="shared" si="21"/>
        <v/>
      </c>
      <c r="BS12" s="19" t="str">
        <f t="shared" si="21"/>
        <v/>
      </c>
      <c r="BT12" s="19" t="str">
        <f t="shared" si="21"/>
        <v/>
      </c>
      <c r="BU12" s="19" t="str">
        <f t="shared" si="21"/>
        <v/>
      </c>
      <c r="BV12" s="19" t="str">
        <f t="shared" si="21"/>
        <v/>
      </c>
      <c r="BW12" s="19" t="str">
        <f t="shared" si="21"/>
        <v/>
      </c>
      <c r="BX12" s="19" t="str">
        <f t="shared" si="21"/>
        <v/>
      </c>
      <c r="BY12" s="19" t="str">
        <f t="shared" si="21"/>
        <v/>
      </c>
      <c r="BZ12" s="19" t="str">
        <f t="shared" si="21"/>
        <v/>
      </c>
      <c r="CA12" s="19" t="str">
        <f t="shared" si="21"/>
        <v/>
      </c>
      <c r="CB12" s="19" t="str">
        <f t="shared" si="21"/>
        <v/>
      </c>
      <c r="CC12" s="19" t="str">
        <f t="shared" si="21"/>
        <v/>
      </c>
      <c r="CD12" s="19" t="str">
        <f t="shared" si="21"/>
        <v/>
      </c>
      <c r="CE12" s="19" t="str">
        <f t="shared" si="21"/>
        <v/>
      </c>
      <c r="CF12" s="19" t="str">
        <f t="shared" si="21"/>
        <v/>
      </c>
      <c r="CG12" s="19" t="str">
        <f t="shared" si="21"/>
        <v/>
      </c>
      <c r="CH12" s="19" t="str">
        <f t="shared" si="21"/>
        <v/>
      </c>
      <c r="CI12" s="19" t="str">
        <f t="shared" si="21"/>
        <v/>
      </c>
      <c r="CJ12" s="19" t="str">
        <f t="shared" si="21"/>
        <v/>
      </c>
      <c r="CK12" s="19" t="str">
        <f t="shared" si="21"/>
        <v/>
      </c>
      <c r="CL12" s="19" t="str">
        <f t="shared" si="21"/>
        <v/>
      </c>
      <c r="CM12" s="19" t="str">
        <f t="shared" si="21"/>
        <v/>
      </c>
      <c r="CN12" s="19" t="str">
        <f t="shared" si="21"/>
        <v/>
      </c>
      <c r="CO12" s="19" t="str">
        <f t="shared" si="21"/>
        <v/>
      </c>
      <c r="CP12" s="19" t="str">
        <f t="shared" si="21"/>
        <v/>
      </c>
      <c r="CQ12" s="19" t="str">
        <f t="shared" si="21"/>
        <v/>
      </c>
      <c r="CR12" s="19" t="str">
        <f t="shared" si="21"/>
        <v/>
      </c>
    </row>
    <row r="13" ht="19.5" customHeight="1">
      <c r="A13" s="2"/>
      <c r="B13" s="2" t="str">
        <f>Summary!D39</f>
        <v>TYM - 600 - Kien</v>
      </c>
      <c r="C13" s="15" t="s">
        <v>14</v>
      </c>
      <c r="D13" s="2" t="str">
        <f>iferror(vlookup(B13,StaffInformation!$F:$I,2,false),"")</f>
        <v/>
      </c>
      <c r="E13" s="2">
        <f>iferror(vlookup(B13,Summary!$D:$V,19,false),)</f>
        <v>0</v>
      </c>
      <c r="F13" s="46"/>
      <c r="H13" s="34"/>
      <c r="I13" s="47"/>
      <c r="O13" s="48"/>
      <c r="P13" s="44"/>
      <c r="Q13" s="29">
        <v>11.0</v>
      </c>
      <c r="R13" s="30" t="s">
        <v>14</v>
      </c>
      <c r="S13" s="19"/>
      <c r="T13" s="20">
        <v>0.0</v>
      </c>
      <c r="U13" s="21" t="str">
        <f t="shared" ref="U13:AA13" si="22">if(and($T13&lt;0,$T13&lt;=U$2),$A$2, )</f>
        <v/>
      </c>
      <c r="V13" s="21" t="str">
        <f t="shared" si="22"/>
        <v/>
      </c>
      <c r="W13" s="21" t="str">
        <f t="shared" si="22"/>
        <v/>
      </c>
      <c r="X13" s="21" t="str">
        <f t="shared" si="22"/>
        <v/>
      </c>
      <c r="Y13" s="21" t="str">
        <f t="shared" si="22"/>
        <v/>
      </c>
      <c r="Z13" s="21" t="str">
        <f t="shared" si="22"/>
        <v/>
      </c>
      <c r="AA13" s="21" t="str">
        <f t="shared" si="22"/>
        <v/>
      </c>
      <c r="AB13" s="45" t="str">
        <f t="shared" si="4"/>
        <v>x</v>
      </c>
      <c r="AC13" s="19" t="str">
        <f t="shared" ref="AC13:CR13" si="23">if(and(10&gt;=$T13,$T13&gt;=AC$2),$A$4,if(and(10&lt;=$T13,$T13&gt;=AC$2),$A$5, ))</f>
        <v/>
      </c>
      <c r="AD13" s="19" t="str">
        <f t="shared" si="23"/>
        <v/>
      </c>
      <c r="AE13" s="19" t="str">
        <f t="shared" si="23"/>
        <v/>
      </c>
      <c r="AF13" s="19" t="str">
        <f t="shared" si="23"/>
        <v/>
      </c>
      <c r="AG13" s="19" t="str">
        <f t="shared" si="23"/>
        <v/>
      </c>
      <c r="AH13" s="19" t="str">
        <f t="shared" si="23"/>
        <v/>
      </c>
      <c r="AI13" s="19" t="str">
        <f t="shared" si="23"/>
        <v/>
      </c>
      <c r="AJ13" s="19" t="str">
        <f t="shared" si="23"/>
        <v/>
      </c>
      <c r="AK13" s="19" t="str">
        <f t="shared" si="23"/>
        <v/>
      </c>
      <c r="AL13" s="19" t="str">
        <f t="shared" si="23"/>
        <v/>
      </c>
      <c r="AM13" s="19" t="str">
        <f t="shared" si="23"/>
        <v/>
      </c>
      <c r="AN13" s="19" t="str">
        <f t="shared" si="23"/>
        <v/>
      </c>
      <c r="AO13" s="19" t="str">
        <f t="shared" si="23"/>
        <v/>
      </c>
      <c r="AP13" s="19" t="str">
        <f t="shared" si="23"/>
        <v/>
      </c>
      <c r="AQ13" s="19" t="str">
        <f t="shared" si="23"/>
        <v/>
      </c>
      <c r="AR13" s="19" t="str">
        <f t="shared" si="23"/>
        <v/>
      </c>
      <c r="AS13" s="19" t="str">
        <f t="shared" si="23"/>
        <v/>
      </c>
      <c r="AT13" s="19" t="str">
        <f t="shared" si="23"/>
        <v/>
      </c>
      <c r="AU13" s="19" t="str">
        <f t="shared" si="23"/>
        <v/>
      </c>
      <c r="AV13" s="19" t="str">
        <f t="shared" si="23"/>
        <v/>
      </c>
      <c r="AW13" s="19" t="str">
        <f t="shared" si="23"/>
        <v/>
      </c>
      <c r="AX13" s="19" t="str">
        <f t="shared" si="23"/>
        <v/>
      </c>
      <c r="AY13" s="19" t="str">
        <f t="shared" si="23"/>
        <v/>
      </c>
      <c r="AZ13" s="19" t="str">
        <f t="shared" si="23"/>
        <v/>
      </c>
      <c r="BA13" s="19" t="str">
        <f t="shared" si="23"/>
        <v/>
      </c>
      <c r="BB13" s="19" t="str">
        <f t="shared" si="23"/>
        <v/>
      </c>
      <c r="BC13" s="19" t="str">
        <f t="shared" si="23"/>
        <v/>
      </c>
      <c r="BD13" s="19" t="str">
        <f t="shared" si="23"/>
        <v/>
      </c>
      <c r="BE13" s="19" t="str">
        <f t="shared" si="23"/>
        <v/>
      </c>
      <c r="BF13" s="19" t="str">
        <f t="shared" si="23"/>
        <v/>
      </c>
      <c r="BG13" s="19" t="str">
        <f t="shared" si="23"/>
        <v/>
      </c>
      <c r="BH13" s="19" t="str">
        <f t="shared" si="23"/>
        <v/>
      </c>
      <c r="BI13" s="19" t="str">
        <f t="shared" si="23"/>
        <v/>
      </c>
      <c r="BJ13" s="19" t="str">
        <f t="shared" si="23"/>
        <v/>
      </c>
      <c r="BK13" s="19" t="str">
        <f t="shared" si="23"/>
        <v/>
      </c>
      <c r="BL13" s="19" t="str">
        <f t="shared" si="23"/>
        <v/>
      </c>
      <c r="BM13" s="19" t="str">
        <f t="shared" si="23"/>
        <v/>
      </c>
      <c r="BN13" s="19" t="str">
        <f t="shared" si="23"/>
        <v/>
      </c>
      <c r="BO13" s="19" t="str">
        <f t="shared" si="23"/>
        <v/>
      </c>
      <c r="BP13" s="19" t="str">
        <f t="shared" si="23"/>
        <v/>
      </c>
      <c r="BQ13" s="19" t="str">
        <f t="shared" si="23"/>
        <v/>
      </c>
      <c r="BR13" s="19" t="str">
        <f t="shared" si="23"/>
        <v/>
      </c>
      <c r="BS13" s="19" t="str">
        <f t="shared" si="23"/>
        <v/>
      </c>
      <c r="BT13" s="19" t="str">
        <f t="shared" si="23"/>
        <v/>
      </c>
      <c r="BU13" s="19" t="str">
        <f t="shared" si="23"/>
        <v/>
      </c>
      <c r="BV13" s="19" t="str">
        <f t="shared" si="23"/>
        <v/>
      </c>
      <c r="BW13" s="19" t="str">
        <f t="shared" si="23"/>
        <v/>
      </c>
      <c r="BX13" s="19" t="str">
        <f t="shared" si="23"/>
        <v/>
      </c>
      <c r="BY13" s="19" t="str">
        <f t="shared" si="23"/>
        <v/>
      </c>
      <c r="BZ13" s="19" t="str">
        <f t="shared" si="23"/>
        <v/>
      </c>
      <c r="CA13" s="19" t="str">
        <f t="shared" si="23"/>
        <v/>
      </c>
      <c r="CB13" s="19" t="str">
        <f t="shared" si="23"/>
        <v/>
      </c>
      <c r="CC13" s="19" t="str">
        <f t="shared" si="23"/>
        <v/>
      </c>
      <c r="CD13" s="19" t="str">
        <f t="shared" si="23"/>
        <v/>
      </c>
      <c r="CE13" s="19" t="str">
        <f t="shared" si="23"/>
        <v/>
      </c>
      <c r="CF13" s="19" t="str">
        <f t="shared" si="23"/>
        <v/>
      </c>
      <c r="CG13" s="19" t="str">
        <f t="shared" si="23"/>
        <v/>
      </c>
      <c r="CH13" s="19" t="str">
        <f t="shared" si="23"/>
        <v/>
      </c>
      <c r="CI13" s="19" t="str">
        <f t="shared" si="23"/>
        <v/>
      </c>
      <c r="CJ13" s="19" t="str">
        <f t="shared" si="23"/>
        <v/>
      </c>
      <c r="CK13" s="19" t="str">
        <f t="shared" si="23"/>
        <v/>
      </c>
      <c r="CL13" s="19" t="str">
        <f t="shared" si="23"/>
        <v/>
      </c>
      <c r="CM13" s="19" t="str">
        <f t="shared" si="23"/>
        <v/>
      </c>
      <c r="CN13" s="19" t="str">
        <f t="shared" si="23"/>
        <v/>
      </c>
      <c r="CO13" s="19" t="str">
        <f t="shared" si="23"/>
        <v/>
      </c>
      <c r="CP13" s="19" t="str">
        <f t="shared" si="23"/>
        <v/>
      </c>
      <c r="CQ13" s="19" t="str">
        <f t="shared" si="23"/>
        <v/>
      </c>
      <c r="CR13" s="19" t="str">
        <f t="shared" si="23"/>
        <v/>
      </c>
    </row>
    <row r="14">
      <c r="A14" s="2"/>
      <c r="B14" s="2" t="str">
        <f>Summary!D40</f>
        <v>VPA - 600 - Vu</v>
      </c>
      <c r="C14" s="15" t="s">
        <v>15</v>
      </c>
      <c r="D14" s="2" t="str">
        <f>iferror(vlookup(B14,StaffInformation!$F:$I,2,false),"")</f>
        <v/>
      </c>
      <c r="E14" s="2">
        <f>iferror(vlookup(B14,Summary!$D:$V,19,false),)</f>
        <v>0</v>
      </c>
      <c r="F14" s="46"/>
      <c r="G14" s="38" t="s">
        <v>3</v>
      </c>
      <c r="H14" s="49"/>
      <c r="I14" s="40"/>
      <c r="J14" s="50"/>
      <c r="L14" s="42" t="str">
        <f>vlookup("Position:"&amp;$G$12,StaffInformation!$C$6:$F$1153,4,false)</f>
        <v>Designer</v>
      </c>
      <c r="O14" s="51"/>
      <c r="P14" s="44"/>
      <c r="Q14" s="29">
        <v>12.0</v>
      </c>
      <c r="R14" s="30" t="s">
        <v>15</v>
      </c>
      <c r="S14" s="19"/>
      <c r="T14" s="20">
        <v>0.0</v>
      </c>
      <c r="U14" s="21" t="str">
        <f t="shared" ref="U14:AA14" si="24">if(and($T14&lt;0,$T14&lt;=U$2),$A$2, )</f>
        <v/>
      </c>
      <c r="V14" s="21" t="str">
        <f t="shared" si="24"/>
        <v/>
      </c>
      <c r="W14" s="21" t="str">
        <f t="shared" si="24"/>
        <v/>
      </c>
      <c r="X14" s="21" t="str">
        <f t="shared" si="24"/>
        <v/>
      </c>
      <c r="Y14" s="21" t="str">
        <f t="shared" si="24"/>
        <v/>
      </c>
      <c r="Z14" s="21" t="str">
        <f t="shared" si="24"/>
        <v/>
      </c>
      <c r="AA14" s="21" t="str">
        <f t="shared" si="24"/>
        <v/>
      </c>
      <c r="AB14" s="45" t="str">
        <f t="shared" si="4"/>
        <v>x</v>
      </c>
      <c r="AC14" s="19" t="str">
        <f t="shared" ref="AC14:CR14" si="25">if(and(10&gt;=$T14,$T14&gt;=AC$2),$A$4,if(and(10&lt;=$T14,$T14&gt;=AC$2),$A$5, ))</f>
        <v/>
      </c>
      <c r="AD14" s="19" t="str">
        <f t="shared" si="25"/>
        <v/>
      </c>
      <c r="AE14" s="19" t="str">
        <f t="shared" si="25"/>
        <v/>
      </c>
      <c r="AF14" s="19" t="str">
        <f t="shared" si="25"/>
        <v/>
      </c>
      <c r="AG14" s="19" t="str">
        <f t="shared" si="25"/>
        <v/>
      </c>
      <c r="AH14" s="19" t="str">
        <f t="shared" si="25"/>
        <v/>
      </c>
      <c r="AI14" s="19" t="str">
        <f t="shared" si="25"/>
        <v/>
      </c>
      <c r="AJ14" s="19" t="str">
        <f t="shared" si="25"/>
        <v/>
      </c>
      <c r="AK14" s="19" t="str">
        <f t="shared" si="25"/>
        <v/>
      </c>
      <c r="AL14" s="19" t="str">
        <f t="shared" si="25"/>
        <v/>
      </c>
      <c r="AM14" s="19" t="str">
        <f t="shared" si="25"/>
        <v/>
      </c>
      <c r="AN14" s="19" t="str">
        <f t="shared" si="25"/>
        <v/>
      </c>
      <c r="AO14" s="19" t="str">
        <f t="shared" si="25"/>
        <v/>
      </c>
      <c r="AP14" s="19" t="str">
        <f t="shared" si="25"/>
        <v/>
      </c>
      <c r="AQ14" s="19" t="str">
        <f t="shared" si="25"/>
        <v/>
      </c>
      <c r="AR14" s="19" t="str">
        <f t="shared" si="25"/>
        <v/>
      </c>
      <c r="AS14" s="19" t="str">
        <f t="shared" si="25"/>
        <v/>
      </c>
      <c r="AT14" s="19" t="str">
        <f t="shared" si="25"/>
        <v/>
      </c>
      <c r="AU14" s="19" t="str">
        <f t="shared" si="25"/>
        <v/>
      </c>
      <c r="AV14" s="19" t="str">
        <f t="shared" si="25"/>
        <v/>
      </c>
      <c r="AW14" s="19" t="str">
        <f t="shared" si="25"/>
        <v/>
      </c>
      <c r="AX14" s="19" t="str">
        <f t="shared" si="25"/>
        <v/>
      </c>
      <c r="AY14" s="19" t="str">
        <f t="shared" si="25"/>
        <v/>
      </c>
      <c r="AZ14" s="19" t="str">
        <f t="shared" si="25"/>
        <v/>
      </c>
      <c r="BA14" s="19" t="str">
        <f t="shared" si="25"/>
        <v/>
      </c>
      <c r="BB14" s="19" t="str">
        <f t="shared" si="25"/>
        <v/>
      </c>
      <c r="BC14" s="19" t="str">
        <f t="shared" si="25"/>
        <v/>
      </c>
      <c r="BD14" s="19" t="str">
        <f t="shared" si="25"/>
        <v/>
      </c>
      <c r="BE14" s="19" t="str">
        <f t="shared" si="25"/>
        <v/>
      </c>
      <c r="BF14" s="19" t="str">
        <f t="shared" si="25"/>
        <v/>
      </c>
      <c r="BG14" s="19" t="str">
        <f t="shared" si="25"/>
        <v/>
      </c>
      <c r="BH14" s="19" t="str">
        <f t="shared" si="25"/>
        <v/>
      </c>
      <c r="BI14" s="19" t="str">
        <f t="shared" si="25"/>
        <v/>
      </c>
      <c r="BJ14" s="19" t="str">
        <f t="shared" si="25"/>
        <v/>
      </c>
      <c r="BK14" s="19" t="str">
        <f t="shared" si="25"/>
        <v/>
      </c>
      <c r="BL14" s="19" t="str">
        <f t="shared" si="25"/>
        <v/>
      </c>
      <c r="BM14" s="19" t="str">
        <f t="shared" si="25"/>
        <v/>
      </c>
      <c r="BN14" s="19" t="str">
        <f t="shared" si="25"/>
        <v/>
      </c>
      <c r="BO14" s="19" t="str">
        <f t="shared" si="25"/>
        <v/>
      </c>
      <c r="BP14" s="19" t="str">
        <f t="shared" si="25"/>
        <v/>
      </c>
      <c r="BQ14" s="19" t="str">
        <f t="shared" si="25"/>
        <v/>
      </c>
      <c r="BR14" s="19" t="str">
        <f t="shared" si="25"/>
        <v/>
      </c>
      <c r="BS14" s="19" t="str">
        <f t="shared" si="25"/>
        <v/>
      </c>
      <c r="BT14" s="19" t="str">
        <f t="shared" si="25"/>
        <v/>
      </c>
      <c r="BU14" s="19" t="str">
        <f t="shared" si="25"/>
        <v/>
      </c>
      <c r="BV14" s="19" t="str">
        <f t="shared" si="25"/>
        <v/>
      </c>
      <c r="BW14" s="19" t="str">
        <f t="shared" si="25"/>
        <v/>
      </c>
      <c r="BX14" s="19" t="str">
        <f t="shared" si="25"/>
        <v/>
      </c>
      <c r="BY14" s="19" t="str">
        <f t="shared" si="25"/>
        <v/>
      </c>
      <c r="BZ14" s="19" t="str">
        <f t="shared" si="25"/>
        <v/>
      </c>
      <c r="CA14" s="19" t="str">
        <f t="shared" si="25"/>
        <v/>
      </c>
      <c r="CB14" s="19" t="str">
        <f t="shared" si="25"/>
        <v/>
      </c>
      <c r="CC14" s="19" t="str">
        <f t="shared" si="25"/>
        <v/>
      </c>
      <c r="CD14" s="19" t="str">
        <f t="shared" si="25"/>
        <v/>
      </c>
      <c r="CE14" s="19" t="str">
        <f t="shared" si="25"/>
        <v/>
      </c>
      <c r="CF14" s="19" t="str">
        <f t="shared" si="25"/>
        <v/>
      </c>
      <c r="CG14" s="19" t="str">
        <f t="shared" si="25"/>
        <v/>
      </c>
      <c r="CH14" s="19" t="str">
        <f t="shared" si="25"/>
        <v/>
      </c>
      <c r="CI14" s="19" t="str">
        <f t="shared" si="25"/>
        <v/>
      </c>
      <c r="CJ14" s="19" t="str">
        <f t="shared" si="25"/>
        <v/>
      </c>
      <c r="CK14" s="19" t="str">
        <f t="shared" si="25"/>
        <v/>
      </c>
      <c r="CL14" s="19" t="str">
        <f t="shared" si="25"/>
        <v/>
      </c>
      <c r="CM14" s="19" t="str">
        <f t="shared" si="25"/>
        <v/>
      </c>
      <c r="CN14" s="19" t="str">
        <f t="shared" si="25"/>
        <v/>
      </c>
      <c r="CO14" s="19" t="str">
        <f t="shared" si="25"/>
        <v/>
      </c>
      <c r="CP14" s="19" t="str">
        <f t="shared" si="25"/>
        <v/>
      </c>
      <c r="CQ14" s="19" t="str">
        <f t="shared" si="25"/>
        <v/>
      </c>
      <c r="CR14" s="19" t="str">
        <f t="shared" si="25"/>
        <v/>
      </c>
    </row>
    <row r="15" ht="15.0" customHeight="1">
      <c r="A15" s="2"/>
      <c r="B15" s="2" t="str">
        <f>Summary!D41</f>
        <v>ADD - 600 - Quyet</v>
      </c>
      <c r="C15" s="15" t="s">
        <v>16</v>
      </c>
      <c r="D15" s="2" t="str">
        <f>iferror(vlookup(B15,'Copy of StaffInformation'!$F:$I,2,false),"")</f>
        <v/>
      </c>
      <c r="E15" s="2">
        <f>iferror(vlookup(B15,Summary!$D:$V,19,false),)</f>
        <v>0</v>
      </c>
      <c r="F15" s="46"/>
      <c r="H15" s="34"/>
      <c r="I15" s="47"/>
      <c r="O15" s="48"/>
      <c r="P15" s="52"/>
      <c r="Q15" s="29">
        <v>13.0</v>
      </c>
      <c r="R15" s="30" t="s">
        <v>16</v>
      </c>
      <c r="S15" s="19" t="s">
        <v>8</v>
      </c>
      <c r="T15" s="20">
        <v>0.0</v>
      </c>
      <c r="U15" s="21" t="str">
        <f t="shared" ref="U15:AA15" si="26">if(and($T15&lt;0,$T15&lt;=U$2),$A$2, )</f>
        <v/>
      </c>
      <c r="V15" s="21" t="str">
        <f t="shared" si="26"/>
        <v/>
      </c>
      <c r="W15" s="21" t="str">
        <f t="shared" si="26"/>
        <v/>
      </c>
      <c r="X15" s="21" t="str">
        <f t="shared" si="26"/>
        <v/>
      </c>
      <c r="Y15" s="21" t="str">
        <f t="shared" si="26"/>
        <v/>
      </c>
      <c r="Z15" s="21" t="str">
        <f t="shared" si="26"/>
        <v/>
      </c>
      <c r="AA15" s="21" t="str">
        <f t="shared" si="26"/>
        <v/>
      </c>
      <c r="AB15" s="45" t="str">
        <f t="shared" si="4"/>
        <v>x</v>
      </c>
      <c r="AC15" s="19" t="str">
        <f t="shared" ref="AC15:CR15" si="27">if(and(10&gt;=$T15,$T15&gt;=AC$2),$A$4,if(and(10&lt;=$T15,$T15&gt;=AC$2),$A$5, ))</f>
        <v/>
      </c>
      <c r="AD15" s="19" t="str">
        <f t="shared" si="27"/>
        <v/>
      </c>
      <c r="AE15" s="19" t="str">
        <f t="shared" si="27"/>
        <v/>
      </c>
      <c r="AF15" s="19" t="str">
        <f t="shared" si="27"/>
        <v/>
      </c>
      <c r="AG15" s="19" t="str">
        <f t="shared" si="27"/>
        <v/>
      </c>
      <c r="AH15" s="19" t="str">
        <f t="shared" si="27"/>
        <v/>
      </c>
      <c r="AI15" s="19" t="str">
        <f t="shared" si="27"/>
        <v/>
      </c>
      <c r="AJ15" s="19" t="str">
        <f t="shared" si="27"/>
        <v/>
      </c>
      <c r="AK15" s="19" t="str">
        <f t="shared" si="27"/>
        <v/>
      </c>
      <c r="AL15" s="19" t="str">
        <f t="shared" si="27"/>
        <v/>
      </c>
      <c r="AM15" s="19" t="str">
        <f t="shared" si="27"/>
        <v/>
      </c>
      <c r="AN15" s="19" t="str">
        <f t="shared" si="27"/>
        <v/>
      </c>
      <c r="AO15" s="19" t="str">
        <f t="shared" si="27"/>
        <v/>
      </c>
      <c r="AP15" s="19" t="str">
        <f t="shared" si="27"/>
        <v/>
      </c>
      <c r="AQ15" s="19" t="str">
        <f t="shared" si="27"/>
        <v/>
      </c>
      <c r="AR15" s="19" t="str">
        <f t="shared" si="27"/>
        <v/>
      </c>
      <c r="AS15" s="19" t="str">
        <f t="shared" si="27"/>
        <v/>
      </c>
      <c r="AT15" s="19" t="str">
        <f t="shared" si="27"/>
        <v/>
      </c>
      <c r="AU15" s="19" t="str">
        <f t="shared" si="27"/>
        <v/>
      </c>
      <c r="AV15" s="19" t="str">
        <f t="shared" si="27"/>
        <v/>
      </c>
      <c r="AW15" s="19" t="str">
        <f t="shared" si="27"/>
        <v/>
      </c>
      <c r="AX15" s="19" t="str">
        <f t="shared" si="27"/>
        <v/>
      </c>
      <c r="AY15" s="19" t="str">
        <f t="shared" si="27"/>
        <v/>
      </c>
      <c r="AZ15" s="19" t="str">
        <f t="shared" si="27"/>
        <v/>
      </c>
      <c r="BA15" s="19" t="str">
        <f t="shared" si="27"/>
        <v/>
      </c>
      <c r="BB15" s="19" t="str">
        <f t="shared" si="27"/>
        <v/>
      </c>
      <c r="BC15" s="19" t="str">
        <f t="shared" si="27"/>
        <v/>
      </c>
      <c r="BD15" s="19" t="str">
        <f t="shared" si="27"/>
        <v/>
      </c>
      <c r="BE15" s="19" t="str">
        <f t="shared" si="27"/>
        <v/>
      </c>
      <c r="BF15" s="19" t="str">
        <f t="shared" si="27"/>
        <v/>
      </c>
      <c r="BG15" s="19" t="str">
        <f t="shared" si="27"/>
        <v/>
      </c>
      <c r="BH15" s="19" t="str">
        <f t="shared" si="27"/>
        <v/>
      </c>
      <c r="BI15" s="19" t="str">
        <f t="shared" si="27"/>
        <v/>
      </c>
      <c r="BJ15" s="19" t="str">
        <f t="shared" si="27"/>
        <v/>
      </c>
      <c r="BK15" s="19" t="str">
        <f t="shared" si="27"/>
        <v/>
      </c>
      <c r="BL15" s="19" t="str">
        <f t="shared" si="27"/>
        <v/>
      </c>
      <c r="BM15" s="19" t="str">
        <f t="shared" si="27"/>
        <v/>
      </c>
      <c r="BN15" s="19" t="str">
        <f t="shared" si="27"/>
        <v/>
      </c>
      <c r="BO15" s="19" t="str">
        <f t="shared" si="27"/>
        <v/>
      </c>
      <c r="BP15" s="19" t="str">
        <f t="shared" si="27"/>
        <v/>
      </c>
      <c r="BQ15" s="19" t="str">
        <f t="shared" si="27"/>
        <v/>
      </c>
      <c r="BR15" s="19" t="str">
        <f t="shared" si="27"/>
        <v/>
      </c>
      <c r="BS15" s="19" t="str">
        <f t="shared" si="27"/>
        <v/>
      </c>
      <c r="BT15" s="19" t="str">
        <f t="shared" si="27"/>
        <v/>
      </c>
      <c r="BU15" s="19" t="str">
        <f t="shared" si="27"/>
        <v/>
      </c>
      <c r="BV15" s="19" t="str">
        <f t="shared" si="27"/>
        <v/>
      </c>
      <c r="BW15" s="19" t="str">
        <f t="shared" si="27"/>
        <v/>
      </c>
      <c r="BX15" s="19" t="str">
        <f t="shared" si="27"/>
        <v/>
      </c>
      <c r="BY15" s="19" t="str">
        <f t="shared" si="27"/>
        <v/>
      </c>
      <c r="BZ15" s="19" t="str">
        <f t="shared" si="27"/>
        <v/>
      </c>
      <c r="CA15" s="19" t="str">
        <f t="shared" si="27"/>
        <v/>
      </c>
      <c r="CB15" s="19" t="str">
        <f t="shared" si="27"/>
        <v/>
      </c>
      <c r="CC15" s="19" t="str">
        <f t="shared" si="27"/>
        <v/>
      </c>
      <c r="CD15" s="19" t="str">
        <f t="shared" si="27"/>
        <v/>
      </c>
      <c r="CE15" s="19" t="str">
        <f t="shared" si="27"/>
        <v/>
      </c>
      <c r="CF15" s="19" t="str">
        <f t="shared" si="27"/>
        <v/>
      </c>
      <c r="CG15" s="19" t="str">
        <f t="shared" si="27"/>
        <v/>
      </c>
      <c r="CH15" s="19" t="str">
        <f t="shared" si="27"/>
        <v/>
      </c>
      <c r="CI15" s="19" t="str">
        <f t="shared" si="27"/>
        <v/>
      </c>
      <c r="CJ15" s="19" t="str">
        <f t="shared" si="27"/>
        <v/>
      </c>
      <c r="CK15" s="19" t="str">
        <f t="shared" si="27"/>
        <v/>
      </c>
      <c r="CL15" s="19" t="str">
        <f t="shared" si="27"/>
        <v/>
      </c>
      <c r="CM15" s="19" t="str">
        <f t="shared" si="27"/>
        <v/>
      </c>
      <c r="CN15" s="19" t="str">
        <f t="shared" si="27"/>
        <v/>
      </c>
      <c r="CO15" s="19" t="str">
        <f t="shared" si="27"/>
        <v/>
      </c>
      <c r="CP15" s="19" t="str">
        <f t="shared" si="27"/>
        <v/>
      </c>
      <c r="CQ15" s="19" t="str">
        <f t="shared" si="27"/>
        <v/>
      </c>
      <c r="CR15" s="19" t="str">
        <f t="shared" si="27"/>
        <v/>
      </c>
    </row>
    <row r="16">
      <c r="A16" s="2"/>
      <c r="B16" s="2" t="str">
        <f>Summary!D42</f>
        <v>ADC - Site Manager - Thuyet</v>
      </c>
      <c r="C16" s="15" t="s">
        <v>17</v>
      </c>
      <c r="D16" s="2" t="str">
        <f>iferror(vlookup(B16,StaffInformation!$F:$I,2,false),"")</f>
        <v/>
      </c>
      <c r="E16" s="2">
        <f>iferror(vlookup(B16,Summary!$D:$V,19,false),)</f>
        <v>0</v>
      </c>
      <c r="F16" s="46"/>
      <c r="G16" s="38" t="s">
        <v>3</v>
      </c>
      <c r="H16" s="53"/>
      <c r="I16" s="40"/>
      <c r="J16" s="50"/>
      <c r="L16" s="54">
        <f>vlookup("Birth:"&amp;$G$12,StaffInformation!$C$6:$F$1153,4,false)</f>
        <v>34465</v>
      </c>
      <c r="O16" s="51"/>
      <c r="P16" s="52"/>
      <c r="Q16" s="29">
        <v>14.0</v>
      </c>
      <c r="R16" s="30" t="s">
        <v>17</v>
      </c>
      <c r="S16" s="19"/>
      <c r="T16" s="20">
        <v>0.0</v>
      </c>
      <c r="U16" s="21" t="str">
        <f t="shared" ref="U16:AA16" si="28">if(and($T16&lt;0,$T16&lt;=U$2),$A$2, )</f>
        <v/>
      </c>
      <c r="V16" s="21" t="str">
        <f t="shared" si="28"/>
        <v/>
      </c>
      <c r="W16" s="21" t="str">
        <f t="shared" si="28"/>
        <v/>
      </c>
      <c r="X16" s="21" t="str">
        <f t="shared" si="28"/>
        <v/>
      </c>
      <c r="Y16" s="21" t="str">
        <f t="shared" si="28"/>
        <v/>
      </c>
      <c r="Z16" s="21" t="str">
        <f t="shared" si="28"/>
        <v/>
      </c>
      <c r="AA16" s="21" t="str">
        <f t="shared" si="28"/>
        <v/>
      </c>
      <c r="AB16" s="45" t="str">
        <f t="shared" si="4"/>
        <v>x</v>
      </c>
      <c r="AC16" s="19" t="str">
        <f t="shared" ref="AC16:CR16" si="29">if(and(10&gt;=$T16,$T16&gt;=AC$2),$A$4,if(and(10&lt;=$T16,$T16&gt;=AC$2),$A$5, ))</f>
        <v/>
      </c>
      <c r="AD16" s="19" t="str">
        <f t="shared" si="29"/>
        <v/>
      </c>
      <c r="AE16" s="19" t="str">
        <f t="shared" si="29"/>
        <v/>
      </c>
      <c r="AF16" s="19" t="str">
        <f t="shared" si="29"/>
        <v/>
      </c>
      <c r="AG16" s="19" t="str">
        <f t="shared" si="29"/>
        <v/>
      </c>
      <c r="AH16" s="19" t="str">
        <f t="shared" si="29"/>
        <v/>
      </c>
      <c r="AI16" s="19" t="str">
        <f t="shared" si="29"/>
        <v/>
      </c>
      <c r="AJ16" s="19" t="str">
        <f t="shared" si="29"/>
        <v/>
      </c>
      <c r="AK16" s="19" t="str">
        <f t="shared" si="29"/>
        <v/>
      </c>
      <c r="AL16" s="19" t="str">
        <f t="shared" si="29"/>
        <v/>
      </c>
      <c r="AM16" s="19" t="str">
        <f t="shared" si="29"/>
        <v/>
      </c>
      <c r="AN16" s="19" t="str">
        <f t="shared" si="29"/>
        <v/>
      </c>
      <c r="AO16" s="19" t="str">
        <f t="shared" si="29"/>
        <v/>
      </c>
      <c r="AP16" s="19" t="str">
        <f t="shared" si="29"/>
        <v/>
      </c>
      <c r="AQ16" s="19" t="str">
        <f t="shared" si="29"/>
        <v/>
      </c>
      <c r="AR16" s="19" t="str">
        <f t="shared" si="29"/>
        <v/>
      </c>
      <c r="AS16" s="19" t="str">
        <f t="shared" si="29"/>
        <v/>
      </c>
      <c r="AT16" s="19" t="str">
        <f t="shared" si="29"/>
        <v/>
      </c>
      <c r="AU16" s="19" t="str">
        <f t="shared" si="29"/>
        <v/>
      </c>
      <c r="AV16" s="19" t="str">
        <f t="shared" si="29"/>
        <v/>
      </c>
      <c r="AW16" s="19" t="str">
        <f t="shared" si="29"/>
        <v/>
      </c>
      <c r="AX16" s="19" t="str">
        <f t="shared" si="29"/>
        <v/>
      </c>
      <c r="AY16" s="19" t="str">
        <f t="shared" si="29"/>
        <v/>
      </c>
      <c r="AZ16" s="19" t="str">
        <f t="shared" si="29"/>
        <v/>
      </c>
      <c r="BA16" s="19" t="str">
        <f t="shared" si="29"/>
        <v/>
      </c>
      <c r="BB16" s="19" t="str">
        <f t="shared" si="29"/>
        <v/>
      </c>
      <c r="BC16" s="19" t="str">
        <f t="shared" si="29"/>
        <v/>
      </c>
      <c r="BD16" s="19" t="str">
        <f t="shared" si="29"/>
        <v/>
      </c>
      <c r="BE16" s="19" t="str">
        <f t="shared" si="29"/>
        <v/>
      </c>
      <c r="BF16" s="19" t="str">
        <f t="shared" si="29"/>
        <v/>
      </c>
      <c r="BG16" s="19" t="str">
        <f t="shared" si="29"/>
        <v/>
      </c>
      <c r="BH16" s="19" t="str">
        <f t="shared" si="29"/>
        <v/>
      </c>
      <c r="BI16" s="19" t="str">
        <f t="shared" si="29"/>
        <v/>
      </c>
      <c r="BJ16" s="19" t="str">
        <f t="shared" si="29"/>
        <v/>
      </c>
      <c r="BK16" s="19" t="str">
        <f t="shared" si="29"/>
        <v/>
      </c>
      <c r="BL16" s="19" t="str">
        <f t="shared" si="29"/>
        <v/>
      </c>
      <c r="BM16" s="19" t="str">
        <f t="shared" si="29"/>
        <v/>
      </c>
      <c r="BN16" s="19" t="str">
        <f t="shared" si="29"/>
        <v/>
      </c>
      <c r="BO16" s="19" t="str">
        <f t="shared" si="29"/>
        <v/>
      </c>
      <c r="BP16" s="19" t="str">
        <f t="shared" si="29"/>
        <v/>
      </c>
      <c r="BQ16" s="19" t="str">
        <f t="shared" si="29"/>
        <v/>
      </c>
      <c r="BR16" s="19" t="str">
        <f t="shared" si="29"/>
        <v/>
      </c>
      <c r="BS16" s="19" t="str">
        <f t="shared" si="29"/>
        <v/>
      </c>
      <c r="BT16" s="19" t="str">
        <f t="shared" si="29"/>
        <v/>
      </c>
      <c r="BU16" s="19" t="str">
        <f t="shared" si="29"/>
        <v/>
      </c>
      <c r="BV16" s="19" t="str">
        <f t="shared" si="29"/>
        <v/>
      </c>
      <c r="BW16" s="19" t="str">
        <f t="shared" si="29"/>
        <v/>
      </c>
      <c r="BX16" s="19" t="str">
        <f t="shared" si="29"/>
        <v/>
      </c>
      <c r="BY16" s="19" t="str">
        <f t="shared" si="29"/>
        <v/>
      </c>
      <c r="BZ16" s="19" t="str">
        <f t="shared" si="29"/>
        <v/>
      </c>
      <c r="CA16" s="19" t="str">
        <f t="shared" si="29"/>
        <v/>
      </c>
      <c r="CB16" s="19" t="str">
        <f t="shared" si="29"/>
        <v/>
      </c>
      <c r="CC16" s="19" t="str">
        <f t="shared" si="29"/>
        <v/>
      </c>
      <c r="CD16" s="19" t="str">
        <f t="shared" si="29"/>
        <v/>
      </c>
      <c r="CE16" s="19" t="str">
        <f t="shared" si="29"/>
        <v/>
      </c>
      <c r="CF16" s="19" t="str">
        <f t="shared" si="29"/>
        <v/>
      </c>
      <c r="CG16" s="19" t="str">
        <f t="shared" si="29"/>
        <v/>
      </c>
      <c r="CH16" s="19" t="str">
        <f t="shared" si="29"/>
        <v/>
      </c>
      <c r="CI16" s="19" t="str">
        <f t="shared" si="29"/>
        <v/>
      </c>
      <c r="CJ16" s="19" t="str">
        <f t="shared" si="29"/>
        <v/>
      </c>
      <c r="CK16" s="19" t="str">
        <f t="shared" si="29"/>
        <v/>
      </c>
      <c r="CL16" s="19" t="str">
        <f t="shared" si="29"/>
        <v/>
      </c>
      <c r="CM16" s="19" t="str">
        <f t="shared" si="29"/>
        <v/>
      </c>
      <c r="CN16" s="19" t="str">
        <f t="shared" si="29"/>
        <v/>
      </c>
      <c r="CO16" s="19" t="str">
        <f t="shared" si="29"/>
        <v/>
      </c>
      <c r="CP16" s="19" t="str">
        <f t="shared" si="29"/>
        <v/>
      </c>
      <c r="CQ16" s="19" t="str">
        <f t="shared" si="29"/>
        <v/>
      </c>
      <c r="CR16" s="19" t="str">
        <f t="shared" si="29"/>
        <v/>
      </c>
    </row>
    <row r="17">
      <c r="A17" s="2"/>
      <c r="B17" s="2" t="str">
        <f>Summary!D44</f>
        <v/>
      </c>
      <c r="C17" s="1" t="str">
        <f>iferror(vlookup(B17,Summary!$D:$E,2,false),)</f>
        <v/>
      </c>
      <c r="D17" s="2" t="str">
        <f>iferror(vlookup(B17,StaffInformation!$F:$I,2,false),"")</f>
        <v/>
      </c>
      <c r="E17" s="2" t="str">
        <f>iferror(vlookup(B17,Summary!$D:$V,19,false),)</f>
        <v/>
      </c>
      <c r="F17" s="46"/>
      <c r="H17" s="34"/>
      <c r="I17" s="47"/>
      <c r="O17" s="48"/>
      <c r="P17" s="52"/>
      <c r="Q17" s="29">
        <v>15.0</v>
      </c>
      <c r="R17" s="30" t="s">
        <v>18</v>
      </c>
      <c r="S17" s="19"/>
      <c r="T17" s="20">
        <v>0.0</v>
      </c>
      <c r="U17" s="21" t="str">
        <f t="shared" ref="U17:AA17" si="30">if(and($T17&lt;0,$T17&lt;=U$2),$A$2, )</f>
        <v/>
      </c>
      <c r="V17" s="21" t="str">
        <f t="shared" si="30"/>
        <v/>
      </c>
      <c r="W17" s="21" t="str">
        <f t="shared" si="30"/>
        <v/>
      </c>
      <c r="X17" s="21" t="str">
        <f t="shared" si="30"/>
        <v/>
      </c>
      <c r="Y17" s="21" t="str">
        <f t="shared" si="30"/>
        <v/>
      </c>
      <c r="Z17" s="21" t="str">
        <f t="shared" si="30"/>
        <v/>
      </c>
      <c r="AA17" s="21" t="str">
        <f t="shared" si="30"/>
        <v/>
      </c>
      <c r="AB17" s="45" t="str">
        <f t="shared" si="4"/>
        <v>x</v>
      </c>
      <c r="AC17" s="19" t="str">
        <f t="shared" ref="AC17:CR17" si="31">if(and(10&gt;=$T17,$T17&gt;=AC$2),$A$4,if(and(10&lt;=$T17,$T17&gt;=AC$2),$A$5, ))</f>
        <v/>
      </c>
      <c r="AD17" s="19" t="str">
        <f t="shared" si="31"/>
        <v/>
      </c>
      <c r="AE17" s="19" t="str">
        <f t="shared" si="31"/>
        <v/>
      </c>
      <c r="AF17" s="19" t="str">
        <f t="shared" si="31"/>
        <v/>
      </c>
      <c r="AG17" s="19" t="str">
        <f t="shared" si="31"/>
        <v/>
      </c>
      <c r="AH17" s="19" t="str">
        <f t="shared" si="31"/>
        <v/>
      </c>
      <c r="AI17" s="19" t="str">
        <f t="shared" si="31"/>
        <v/>
      </c>
      <c r="AJ17" s="19" t="str">
        <f t="shared" si="31"/>
        <v/>
      </c>
      <c r="AK17" s="19" t="str">
        <f t="shared" si="31"/>
        <v/>
      </c>
      <c r="AL17" s="19" t="str">
        <f t="shared" si="31"/>
        <v/>
      </c>
      <c r="AM17" s="19" t="str">
        <f t="shared" si="31"/>
        <v/>
      </c>
      <c r="AN17" s="19" t="str">
        <f t="shared" si="31"/>
        <v/>
      </c>
      <c r="AO17" s="19" t="str">
        <f t="shared" si="31"/>
        <v/>
      </c>
      <c r="AP17" s="19" t="str">
        <f t="shared" si="31"/>
        <v/>
      </c>
      <c r="AQ17" s="19" t="str">
        <f t="shared" si="31"/>
        <v/>
      </c>
      <c r="AR17" s="19" t="str">
        <f t="shared" si="31"/>
        <v/>
      </c>
      <c r="AS17" s="19" t="str">
        <f t="shared" si="31"/>
        <v/>
      </c>
      <c r="AT17" s="19" t="str">
        <f t="shared" si="31"/>
        <v/>
      </c>
      <c r="AU17" s="19" t="str">
        <f t="shared" si="31"/>
        <v/>
      </c>
      <c r="AV17" s="19" t="str">
        <f t="shared" si="31"/>
        <v/>
      </c>
      <c r="AW17" s="19" t="str">
        <f t="shared" si="31"/>
        <v/>
      </c>
      <c r="AX17" s="19" t="str">
        <f t="shared" si="31"/>
        <v/>
      </c>
      <c r="AY17" s="19" t="str">
        <f t="shared" si="31"/>
        <v/>
      </c>
      <c r="AZ17" s="19" t="str">
        <f t="shared" si="31"/>
        <v/>
      </c>
      <c r="BA17" s="19" t="str">
        <f t="shared" si="31"/>
        <v/>
      </c>
      <c r="BB17" s="19" t="str">
        <f t="shared" si="31"/>
        <v/>
      </c>
      <c r="BC17" s="19" t="str">
        <f t="shared" si="31"/>
        <v/>
      </c>
      <c r="BD17" s="19" t="str">
        <f t="shared" si="31"/>
        <v/>
      </c>
      <c r="BE17" s="19" t="str">
        <f t="shared" si="31"/>
        <v/>
      </c>
      <c r="BF17" s="19" t="str">
        <f t="shared" si="31"/>
        <v/>
      </c>
      <c r="BG17" s="19" t="str">
        <f t="shared" si="31"/>
        <v/>
      </c>
      <c r="BH17" s="19" t="str">
        <f t="shared" si="31"/>
        <v/>
      </c>
      <c r="BI17" s="19" t="str">
        <f t="shared" si="31"/>
        <v/>
      </c>
      <c r="BJ17" s="19" t="str">
        <f t="shared" si="31"/>
        <v/>
      </c>
      <c r="BK17" s="19" t="str">
        <f t="shared" si="31"/>
        <v/>
      </c>
      <c r="BL17" s="19" t="str">
        <f t="shared" si="31"/>
        <v/>
      </c>
      <c r="BM17" s="19" t="str">
        <f t="shared" si="31"/>
        <v/>
      </c>
      <c r="BN17" s="19" t="str">
        <f t="shared" si="31"/>
        <v/>
      </c>
      <c r="BO17" s="19" t="str">
        <f t="shared" si="31"/>
        <v/>
      </c>
      <c r="BP17" s="19" t="str">
        <f t="shared" si="31"/>
        <v/>
      </c>
      <c r="BQ17" s="19" t="str">
        <f t="shared" si="31"/>
        <v/>
      </c>
      <c r="BR17" s="19" t="str">
        <f t="shared" si="31"/>
        <v/>
      </c>
      <c r="BS17" s="19" t="str">
        <f t="shared" si="31"/>
        <v/>
      </c>
      <c r="BT17" s="19" t="str">
        <f t="shared" si="31"/>
        <v/>
      </c>
      <c r="BU17" s="19" t="str">
        <f t="shared" si="31"/>
        <v/>
      </c>
      <c r="BV17" s="19" t="str">
        <f t="shared" si="31"/>
        <v/>
      </c>
      <c r="BW17" s="19" t="str">
        <f t="shared" si="31"/>
        <v/>
      </c>
      <c r="BX17" s="19" t="str">
        <f t="shared" si="31"/>
        <v/>
      </c>
      <c r="BY17" s="19" t="str">
        <f t="shared" si="31"/>
        <v/>
      </c>
      <c r="BZ17" s="19" t="str">
        <f t="shared" si="31"/>
        <v/>
      </c>
      <c r="CA17" s="19" t="str">
        <f t="shared" si="31"/>
        <v/>
      </c>
      <c r="CB17" s="19" t="str">
        <f t="shared" si="31"/>
        <v/>
      </c>
      <c r="CC17" s="19" t="str">
        <f t="shared" si="31"/>
        <v/>
      </c>
      <c r="CD17" s="19" t="str">
        <f t="shared" si="31"/>
        <v/>
      </c>
      <c r="CE17" s="19" t="str">
        <f t="shared" si="31"/>
        <v/>
      </c>
      <c r="CF17" s="19" t="str">
        <f t="shared" si="31"/>
        <v/>
      </c>
      <c r="CG17" s="19" t="str">
        <f t="shared" si="31"/>
        <v/>
      </c>
      <c r="CH17" s="19" t="str">
        <f t="shared" si="31"/>
        <v/>
      </c>
      <c r="CI17" s="19" t="str">
        <f t="shared" si="31"/>
        <v/>
      </c>
      <c r="CJ17" s="19" t="str">
        <f t="shared" si="31"/>
        <v/>
      </c>
      <c r="CK17" s="19" t="str">
        <f t="shared" si="31"/>
        <v/>
      </c>
      <c r="CL17" s="19" t="str">
        <f t="shared" si="31"/>
        <v/>
      </c>
      <c r="CM17" s="19" t="str">
        <f t="shared" si="31"/>
        <v/>
      </c>
      <c r="CN17" s="19" t="str">
        <f t="shared" si="31"/>
        <v/>
      </c>
      <c r="CO17" s="19" t="str">
        <f t="shared" si="31"/>
        <v/>
      </c>
      <c r="CP17" s="19" t="str">
        <f t="shared" si="31"/>
        <v/>
      </c>
      <c r="CQ17" s="19" t="str">
        <f t="shared" si="31"/>
        <v/>
      </c>
      <c r="CR17" s="19" t="str">
        <f t="shared" si="31"/>
        <v/>
      </c>
    </row>
    <row r="18">
      <c r="A18" s="2"/>
      <c r="B18" s="2" t="str">
        <f>Summary!D45</f>
        <v>GROUP - 200 - Tien</v>
      </c>
      <c r="C18" s="15" t="s">
        <v>18</v>
      </c>
      <c r="D18" s="2" t="str">
        <f>iferror(vlookup(B18,StaffInformation!$F:$I,2,false),"")</f>
        <v/>
      </c>
      <c r="E18" s="2">
        <f>iferror(vlookup(B18,Summary!$D:$V,19,false),)</f>
        <v>0</v>
      </c>
      <c r="F18" s="55"/>
      <c r="G18" s="38" t="s">
        <v>3</v>
      </c>
      <c r="H18" s="56"/>
      <c r="I18" s="57"/>
      <c r="J18" s="50"/>
      <c r="L18" s="42" t="str">
        <f>vlookup("Experience:"&amp;$G$12,StaffInformation!$C$6:$F$1153,4,false)</f>
        <v>8 years</v>
      </c>
      <c r="O18" s="51"/>
      <c r="P18" s="44"/>
      <c r="Q18" s="29">
        <v>16.0</v>
      </c>
      <c r="R18" s="30" t="s">
        <v>19</v>
      </c>
      <c r="S18" s="19"/>
      <c r="T18" s="20">
        <v>0.0</v>
      </c>
      <c r="U18" s="21" t="str">
        <f t="shared" ref="U18:AA18" si="32">if(and($T18&lt;0,$T18&lt;=U$2),$A$2, )</f>
        <v/>
      </c>
      <c r="V18" s="21" t="str">
        <f t="shared" si="32"/>
        <v/>
      </c>
      <c r="W18" s="21" t="str">
        <f t="shared" si="32"/>
        <v/>
      </c>
      <c r="X18" s="21" t="str">
        <f t="shared" si="32"/>
        <v/>
      </c>
      <c r="Y18" s="21" t="str">
        <f t="shared" si="32"/>
        <v/>
      </c>
      <c r="Z18" s="21" t="str">
        <f t="shared" si="32"/>
        <v/>
      </c>
      <c r="AA18" s="21" t="str">
        <f t="shared" si="32"/>
        <v/>
      </c>
      <c r="AB18" s="45" t="str">
        <f t="shared" si="4"/>
        <v>x</v>
      </c>
      <c r="AC18" s="19" t="str">
        <f t="shared" ref="AC18:CR18" si="33">if(and(10&gt;=$T18,$T18&gt;=AC$2),$A$4,if(and(10&lt;=$T18,$T18&gt;=AC$2),$A$5, ))</f>
        <v/>
      </c>
      <c r="AD18" s="19" t="str">
        <f t="shared" si="33"/>
        <v/>
      </c>
      <c r="AE18" s="19" t="str">
        <f t="shared" si="33"/>
        <v/>
      </c>
      <c r="AF18" s="19" t="str">
        <f t="shared" si="33"/>
        <v/>
      </c>
      <c r="AG18" s="19" t="str">
        <f t="shared" si="33"/>
        <v/>
      </c>
      <c r="AH18" s="19" t="str">
        <f t="shared" si="33"/>
        <v/>
      </c>
      <c r="AI18" s="19" t="str">
        <f t="shared" si="33"/>
        <v/>
      </c>
      <c r="AJ18" s="19" t="str">
        <f t="shared" si="33"/>
        <v/>
      </c>
      <c r="AK18" s="19" t="str">
        <f t="shared" si="33"/>
        <v/>
      </c>
      <c r="AL18" s="19" t="str">
        <f t="shared" si="33"/>
        <v/>
      </c>
      <c r="AM18" s="19" t="str">
        <f t="shared" si="33"/>
        <v/>
      </c>
      <c r="AN18" s="19" t="str">
        <f t="shared" si="33"/>
        <v/>
      </c>
      <c r="AO18" s="19" t="str">
        <f t="shared" si="33"/>
        <v/>
      </c>
      <c r="AP18" s="19" t="str">
        <f t="shared" si="33"/>
        <v/>
      </c>
      <c r="AQ18" s="19" t="str">
        <f t="shared" si="33"/>
        <v/>
      </c>
      <c r="AR18" s="19" t="str">
        <f t="shared" si="33"/>
        <v/>
      </c>
      <c r="AS18" s="19" t="str">
        <f t="shared" si="33"/>
        <v/>
      </c>
      <c r="AT18" s="19" t="str">
        <f t="shared" si="33"/>
        <v/>
      </c>
      <c r="AU18" s="19" t="str">
        <f t="shared" si="33"/>
        <v/>
      </c>
      <c r="AV18" s="19" t="str">
        <f t="shared" si="33"/>
        <v/>
      </c>
      <c r="AW18" s="19" t="str">
        <f t="shared" si="33"/>
        <v/>
      </c>
      <c r="AX18" s="19" t="str">
        <f t="shared" si="33"/>
        <v/>
      </c>
      <c r="AY18" s="19" t="str">
        <f t="shared" si="33"/>
        <v/>
      </c>
      <c r="AZ18" s="19" t="str">
        <f t="shared" si="33"/>
        <v/>
      </c>
      <c r="BA18" s="19" t="str">
        <f t="shared" si="33"/>
        <v/>
      </c>
      <c r="BB18" s="19" t="str">
        <f t="shared" si="33"/>
        <v/>
      </c>
      <c r="BC18" s="19" t="str">
        <f t="shared" si="33"/>
        <v/>
      </c>
      <c r="BD18" s="19" t="str">
        <f t="shared" si="33"/>
        <v/>
      </c>
      <c r="BE18" s="19" t="str">
        <f t="shared" si="33"/>
        <v/>
      </c>
      <c r="BF18" s="19" t="str">
        <f t="shared" si="33"/>
        <v/>
      </c>
      <c r="BG18" s="19" t="str">
        <f t="shared" si="33"/>
        <v/>
      </c>
      <c r="BH18" s="19" t="str">
        <f t="shared" si="33"/>
        <v/>
      </c>
      <c r="BI18" s="19" t="str">
        <f t="shared" si="33"/>
        <v/>
      </c>
      <c r="BJ18" s="19" t="str">
        <f t="shared" si="33"/>
        <v/>
      </c>
      <c r="BK18" s="19" t="str">
        <f t="shared" si="33"/>
        <v/>
      </c>
      <c r="BL18" s="19" t="str">
        <f t="shared" si="33"/>
        <v/>
      </c>
      <c r="BM18" s="19" t="str">
        <f t="shared" si="33"/>
        <v/>
      </c>
      <c r="BN18" s="19" t="str">
        <f t="shared" si="33"/>
        <v/>
      </c>
      <c r="BO18" s="19" t="str">
        <f t="shared" si="33"/>
        <v/>
      </c>
      <c r="BP18" s="19" t="str">
        <f t="shared" si="33"/>
        <v/>
      </c>
      <c r="BQ18" s="19" t="str">
        <f t="shared" si="33"/>
        <v/>
      </c>
      <c r="BR18" s="19" t="str">
        <f t="shared" si="33"/>
        <v/>
      </c>
      <c r="BS18" s="19" t="str">
        <f t="shared" si="33"/>
        <v/>
      </c>
      <c r="BT18" s="19" t="str">
        <f t="shared" si="33"/>
        <v/>
      </c>
      <c r="BU18" s="19" t="str">
        <f t="shared" si="33"/>
        <v/>
      </c>
      <c r="BV18" s="19" t="str">
        <f t="shared" si="33"/>
        <v/>
      </c>
      <c r="BW18" s="19" t="str">
        <f t="shared" si="33"/>
        <v/>
      </c>
      <c r="BX18" s="19" t="str">
        <f t="shared" si="33"/>
        <v/>
      </c>
      <c r="BY18" s="19" t="str">
        <f t="shared" si="33"/>
        <v/>
      </c>
      <c r="BZ18" s="19" t="str">
        <f t="shared" si="33"/>
        <v/>
      </c>
      <c r="CA18" s="19" t="str">
        <f t="shared" si="33"/>
        <v/>
      </c>
      <c r="CB18" s="19" t="str">
        <f t="shared" si="33"/>
        <v/>
      </c>
      <c r="CC18" s="19" t="str">
        <f t="shared" si="33"/>
        <v/>
      </c>
      <c r="CD18" s="19" t="str">
        <f t="shared" si="33"/>
        <v/>
      </c>
      <c r="CE18" s="19" t="str">
        <f t="shared" si="33"/>
        <v/>
      </c>
      <c r="CF18" s="19" t="str">
        <f t="shared" si="33"/>
        <v/>
      </c>
      <c r="CG18" s="19" t="str">
        <f t="shared" si="33"/>
        <v/>
      </c>
      <c r="CH18" s="19" t="str">
        <f t="shared" si="33"/>
        <v/>
      </c>
      <c r="CI18" s="19" t="str">
        <f t="shared" si="33"/>
        <v/>
      </c>
      <c r="CJ18" s="19" t="str">
        <f t="shared" si="33"/>
        <v/>
      </c>
      <c r="CK18" s="19" t="str">
        <f t="shared" si="33"/>
        <v/>
      </c>
      <c r="CL18" s="19" t="str">
        <f t="shared" si="33"/>
        <v/>
      </c>
      <c r="CM18" s="19" t="str">
        <f t="shared" si="33"/>
        <v/>
      </c>
      <c r="CN18" s="19" t="str">
        <f t="shared" si="33"/>
        <v/>
      </c>
      <c r="CO18" s="19" t="str">
        <f t="shared" si="33"/>
        <v/>
      </c>
      <c r="CP18" s="19" t="str">
        <f t="shared" si="33"/>
        <v/>
      </c>
      <c r="CQ18" s="19" t="str">
        <f t="shared" si="33"/>
        <v/>
      </c>
      <c r="CR18" s="19" t="str">
        <f t="shared" si="33"/>
        <v/>
      </c>
    </row>
    <row r="19">
      <c r="A19" s="2"/>
      <c r="B19" s="2" t="str">
        <f>Summary!D46</f>
        <v>GROUP - 000-200 - Luat</v>
      </c>
      <c r="C19" s="15" t="s">
        <v>19</v>
      </c>
      <c r="D19" s="2" t="str">
        <f>iferror(vlookup(B19,StaffInformation!$F:$I,2,false),"")</f>
        <v/>
      </c>
      <c r="E19" s="2">
        <f>iferror(vlookup(B19,Summary!$D:$V,19,false),)</f>
        <v>0</v>
      </c>
      <c r="F19" s="46"/>
      <c r="H19" s="34"/>
      <c r="I19" s="47"/>
      <c r="O19" s="48"/>
      <c r="P19" s="44"/>
      <c r="Q19" s="29">
        <v>17.0</v>
      </c>
      <c r="R19" s="30" t="s">
        <v>20</v>
      </c>
      <c r="S19" s="19"/>
      <c r="T19" s="20">
        <v>0.0</v>
      </c>
      <c r="U19" s="21" t="str">
        <f t="shared" ref="U19:AA19" si="34">if(and($T19&lt;0,$T19&lt;=U$2),$A$2, )</f>
        <v/>
      </c>
      <c r="V19" s="21" t="str">
        <f t="shared" si="34"/>
        <v/>
      </c>
      <c r="W19" s="21" t="str">
        <f t="shared" si="34"/>
        <v/>
      </c>
      <c r="X19" s="21" t="str">
        <f t="shared" si="34"/>
        <v/>
      </c>
      <c r="Y19" s="21" t="str">
        <f t="shared" si="34"/>
        <v/>
      </c>
      <c r="Z19" s="21" t="str">
        <f t="shared" si="34"/>
        <v/>
      </c>
      <c r="AA19" s="21" t="str">
        <f t="shared" si="34"/>
        <v/>
      </c>
      <c r="AB19" s="45" t="str">
        <f t="shared" si="4"/>
        <v>x</v>
      </c>
      <c r="AC19" s="19" t="str">
        <f t="shared" ref="AC19:CR19" si="35">if(and(10&gt;=$T19,$T19&gt;=AC$2),$A$4,if(and(10&lt;=$T19,$T19&gt;=AC$2),$A$5, ))</f>
        <v/>
      </c>
      <c r="AD19" s="19" t="str">
        <f t="shared" si="35"/>
        <v/>
      </c>
      <c r="AE19" s="19" t="str">
        <f t="shared" si="35"/>
        <v/>
      </c>
      <c r="AF19" s="19" t="str">
        <f t="shared" si="35"/>
        <v/>
      </c>
      <c r="AG19" s="19" t="str">
        <f t="shared" si="35"/>
        <v/>
      </c>
      <c r="AH19" s="19" t="str">
        <f t="shared" si="35"/>
        <v/>
      </c>
      <c r="AI19" s="19" t="str">
        <f t="shared" si="35"/>
        <v/>
      </c>
      <c r="AJ19" s="19" t="str">
        <f t="shared" si="35"/>
        <v/>
      </c>
      <c r="AK19" s="19" t="str">
        <f t="shared" si="35"/>
        <v/>
      </c>
      <c r="AL19" s="19" t="str">
        <f t="shared" si="35"/>
        <v/>
      </c>
      <c r="AM19" s="19" t="str">
        <f t="shared" si="35"/>
        <v/>
      </c>
      <c r="AN19" s="19" t="str">
        <f t="shared" si="35"/>
        <v/>
      </c>
      <c r="AO19" s="19" t="str">
        <f t="shared" si="35"/>
        <v/>
      </c>
      <c r="AP19" s="19" t="str">
        <f t="shared" si="35"/>
        <v/>
      </c>
      <c r="AQ19" s="19" t="str">
        <f t="shared" si="35"/>
        <v/>
      </c>
      <c r="AR19" s="19" t="str">
        <f t="shared" si="35"/>
        <v/>
      </c>
      <c r="AS19" s="19" t="str">
        <f t="shared" si="35"/>
        <v/>
      </c>
      <c r="AT19" s="19" t="str">
        <f t="shared" si="35"/>
        <v/>
      </c>
      <c r="AU19" s="19" t="str">
        <f t="shared" si="35"/>
        <v/>
      </c>
      <c r="AV19" s="19" t="str">
        <f t="shared" si="35"/>
        <v/>
      </c>
      <c r="AW19" s="19" t="str">
        <f t="shared" si="35"/>
        <v/>
      </c>
      <c r="AX19" s="19" t="str">
        <f t="shared" si="35"/>
        <v/>
      </c>
      <c r="AY19" s="19" t="str">
        <f t="shared" si="35"/>
        <v/>
      </c>
      <c r="AZ19" s="19" t="str">
        <f t="shared" si="35"/>
        <v/>
      </c>
      <c r="BA19" s="19" t="str">
        <f t="shared" si="35"/>
        <v/>
      </c>
      <c r="BB19" s="19" t="str">
        <f t="shared" si="35"/>
        <v/>
      </c>
      <c r="BC19" s="19" t="str">
        <f t="shared" si="35"/>
        <v/>
      </c>
      <c r="BD19" s="19" t="str">
        <f t="shared" si="35"/>
        <v/>
      </c>
      <c r="BE19" s="19" t="str">
        <f t="shared" si="35"/>
        <v/>
      </c>
      <c r="BF19" s="19" t="str">
        <f t="shared" si="35"/>
        <v/>
      </c>
      <c r="BG19" s="19" t="str">
        <f t="shared" si="35"/>
        <v/>
      </c>
      <c r="BH19" s="19" t="str">
        <f t="shared" si="35"/>
        <v/>
      </c>
      <c r="BI19" s="19" t="str">
        <f t="shared" si="35"/>
        <v/>
      </c>
      <c r="BJ19" s="19" t="str">
        <f t="shared" si="35"/>
        <v/>
      </c>
      <c r="BK19" s="19" t="str">
        <f t="shared" si="35"/>
        <v/>
      </c>
      <c r="BL19" s="19" t="str">
        <f t="shared" si="35"/>
        <v/>
      </c>
      <c r="BM19" s="19" t="str">
        <f t="shared" si="35"/>
        <v/>
      </c>
      <c r="BN19" s="19" t="str">
        <f t="shared" si="35"/>
        <v/>
      </c>
      <c r="BO19" s="19" t="str">
        <f t="shared" si="35"/>
        <v/>
      </c>
      <c r="BP19" s="19" t="str">
        <f t="shared" si="35"/>
        <v/>
      </c>
      <c r="BQ19" s="19" t="str">
        <f t="shared" si="35"/>
        <v/>
      </c>
      <c r="BR19" s="19" t="str">
        <f t="shared" si="35"/>
        <v/>
      </c>
      <c r="BS19" s="19" t="str">
        <f t="shared" si="35"/>
        <v/>
      </c>
      <c r="BT19" s="19" t="str">
        <f t="shared" si="35"/>
        <v/>
      </c>
      <c r="BU19" s="19" t="str">
        <f t="shared" si="35"/>
        <v/>
      </c>
      <c r="BV19" s="19" t="str">
        <f t="shared" si="35"/>
        <v/>
      </c>
      <c r="BW19" s="19" t="str">
        <f t="shared" si="35"/>
        <v/>
      </c>
      <c r="BX19" s="19" t="str">
        <f t="shared" si="35"/>
        <v/>
      </c>
      <c r="BY19" s="19" t="str">
        <f t="shared" si="35"/>
        <v/>
      </c>
      <c r="BZ19" s="19" t="str">
        <f t="shared" si="35"/>
        <v/>
      </c>
      <c r="CA19" s="19" t="str">
        <f t="shared" si="35"/>
        <v/>
      </c>
      <c r="CB19" s="19" t="str">
        <f t="shared" si="35"/>
        <v/>
      </c>
      <c r="CC19" s="19" t="str">
        <f t="shared" si="35"/>
        <v/>
      </c>
      <c r="CD19" s="19" t="str">
        <f t="shared" si="35"/>
        <v/>
      </c>
      <c r="CE19" s="19" t="str">
        <f t="shared" si="35"/>
        <v/>
      </c>
      <c r="CF19" s="19" t="str">
        <f t="shared" si="35"/>
        <v/>
      </c>
      <c r="CG19" s="19" t="str">
        <f t="shared" si="35"/>
        <v/>
      </c>
      <c r="CH19" s="19" t="str">
        <f t="shared" si="35"/>
        <v/>
      </c>
      <c r="CI19" s="19" t="str">
        <f t="shared" si="35"/>
        <v/>
      </c>
      <c r="CJ19" s="19" t="str">
        <f t="shared" si="35"/>
        <v/>
      </c>
      <c r="CK19" s="19" t="str">
        <f t="shared" si="35"/>
        <v/>
      </c>
      <c r="CL19" s="19" t="str">
        <f t="shared" si="35"/>
        <v/>
      </c>
      <c r="CM19" s="19" t="str">
        <f t="shared" si="35"/>
        <v/>
      </c>
      <c r="CN19" s="19" t="str">
        <f t="shared" si="35"/>
        <v/>
      </c>
      <c r="CO19" s="19" t="str">
        <f t="shared" si="35"/>
        <v/>
      </c>
      <c r="CP19" s="19" t="str">
        <f t="shared" si="35"/>
        <v/>
      </c>
      <c r="CQ19" s="19" t="str">
        <f t="shared" si="35"/>
        <v/>
      </c>
      <c r="CR19" s="19" t="str">
        <f t="shared" si="35"/>
        <v/>
      </c>
    </row>
    <row r="20">
      <c r="A20" s="2"/>
      <c r="B20" s="2" t="str">
        <f>Summary!D47</f>
        <v>GROUP - 200 - Duy Anh</v>
      </c>
      <c r="C20" s="15" t="s">
        <v>20</v>
      </c>
      <c r="D20" s="2" t="str">
        <f>iferror(vlookup(B20,StaffInformation!$F:$I,2,false),"")</f>
        <v/>
      </c>
      <c r="E20" s="2">
        <f>iferror(vlookup(B20,Summary!$D:$V,19,false),)</f>
        <v>0</v>
      </c>
      <c r="F20" s="46"/>
      <c r="G20" s="38" t="s">
        <v>3</v>
      </c>
      <c r="H20" s="53"/>
      <c r="I20" s="58"/>
      <c r="J20" s="59"/>
      <c r="L20" s="60" t="str">
        <f>vlookup("Quote:"&amp;$G$12,StaffInformation!$C$6:$F$1153,4,false)</f>
        <v>Bringing the forest into the city</v>
      </c>
      <c r="O20" s="60"/>
      <c r="P20" s="37"/>
      <c r="Q20" s="29">
        <v>18.0</v>
      </c>
      <c r="R20" s="30" t="s">
        <v>21</v>
      </c>
      <c r="S20" s="19"/>
      <c r="T20" s="20">
        <v>0.0</v>
      </c>
      <c r="U20" s="21" t="str">
        <f t="shared" ref="U20:AA20" si="36">if(and($T20&lt;0,$T20&lt;=U$2),$A$2, )</f>
        <v/>
      </c>
      <c r="V20" s="21" t="str">
        <f t="shared" si="36"/>
        <v/>
      </c>
      <c r="W20" s="21" t="str">
        <f t="shared" si="36"/>
        <v/>
      </c>
      <c r="X20" s="21" t="str">
        <f t="shared" si="36"/>
        <v/>
      </c>
      <c r="Y20" s="21" t="str">
        <f t="shared" si="36"/>
        <v/>
      </c>
      <c r="Z20" s="21" t="str">
        <f t="shared" si="36"/>
        <v/>
      </c>
      <c r="AA20" s="21" t="str">
        <f t="shared" si="36"/>
        <v/>
      </c>
      <c r="AB20" s="45" t="str">
        <f t="shared" si="4"/>
        <v>x</v>
      </c>
      <c r="AC20" s="19" t="str">
        <f t="shared" ref="AC20:CR20" si="37">if(and(10&gt;=$T20,$T20&gt;=AC$2),$A$4,if(and(10&lt;=$T20,$T20&gt;=AC$2),$A$5, ))</f>
        <v/>
      </c>
      <c r="AD20" s="19" t="str">
        <f t="shared" si="37"/>
        <v/>
      </c>
      <c r="AE20" s="19" t="str">
        <f t="shared" si="37"/>
        <v/>
      </c>
      <c r="AF20" s="19" t="str">
        <f t="shared" si="37"/>
        <v/>
      </c>
      <c r="AG20" s="19" t="str">
        <f t="shared" si="37"/>
        <v/>
      </c>
      <c r="AH20" s="19" t="str">
        <f t="shared" si="37"/>
        <v/>
      </c>
      <c r="AI20" s="19" t="str">
        <f t="shared" si="37"/>
        <v/>
      </c>
      <c r="AJ20" s="19" t="str">
        <f t="shared" si="37"/>
        <v/>
      </c>
      <c r="AK20" s="19" t="str">
        <f t="shared" si="37"/>
        <v/>
      </c>
      <c r="AL20" s="19" t="str">
        <f t="shared" si="37"/>
        <v/>
      </c>
      <c r="AM20" s="19" t="str">
        <f t="shared" si="37"/>
        <v/>
      </c>
      <c r="AN20" s="19" t="str">
        <f t="shared" si="37"/>
        <v/>
      </c>
      <c r="AO20" s="19" t="str">
        <f t="shared" si="37"/>
        <v/>
      </c>
      <c r="AP20" s="19" t="str">
        <f t="shared" si="37"/>
        <v/>
      </c>
      <c r="AQ20" s="19" t="str">
        <f t="shared" si="37"/>
        <v/>
      </c>
      <c r="AR20" s="19" t="str">
        <f t="shared" si="37"/>
        <v/>
      </c>
      <c r="AS20" s="19" t="str">
        <f t="shared" si="37"/>
        <v/>
      </c>
      <c r="AT20" s="19" t="str">
        <f t="shared" si="37"/>
        <v/>
      </c>
      <c r="AU20" s="19" t="str">
        <f t="shared" si="37"/>
        <v/>
      </c>
      <c r="AV20" s="19" t="str">
        <f t="shared" si="37"/>
        <v/>
      </c>
      <c r="AW20" s="19" t="str">
        <f t="shared" si="37"/>
        <v/>
      </c>
      <c r="AX20" s="19" t="str">
        <f t="shared" si="37"/>
        <v/>
      </c>
      <c r="AY20" s="19" t="str">
        <f t="shared" si="37"/>
        <v/>
      </c>
      <c r="AZ20" s="19" t="str">
        <f t="shared" si="37"/>
        <v/>
      </c>
      <c r="BA20" s="19" t="str">
        <f t="shared" si="37"/>
        <v/>
      </c>
      <c r="BB20" s="19" t="str">
        <f t="shared" si="37"/>
        <v/>
      </c>
      <c r="BC20" s="19" t="str">
        <f t="shared" si="37"/>
        <v/>
      </c>
      <c r="BD20" s="19" t="str">
        <f t="shared" si="37"/>
        <v/>
      </c>
      <c r="BE20" s="19" t="str">
        <f t="shared" si="37"/>
        <v/>
      </c>
      <c r="BF20" s="19" t="str">
        <f t="shared" si="37"/>
        <v/>
      </c>
      <c r="BG20" s="19" t="str">
        <f t="shared" si="37"/>
        <v/>
      </c>
      <c r="BH20" s="19" t="str">
        <f t="shared" si="37"/>
        <v/>
      </c>
      <c r="BI20" s="19" t="str">
        <f t="shared" si="37"/>
        <v/>
      </c>
      <c r="BJ20" s="19" t="str">
        <f t="shared" si="37"/>
        <v/>
      </c>
      <c r="BK20" s="19" t="str">
        <f t="shared" si="37"/>
        <v/>
      </c>
      <c r="BL20" s="19" t="str">
        <f t="shared" si="37"/>
        <v/>
      </c>
      <c r="BM20" s="19" t="str">
        <f t="shared" si="37"/>
        <v/>
      </c>
      <c r="BN20" s="19" t="str">
        <f t="shared" si="37"/>
        <v/>
      </c>
      <c r="BO20" s="19" t="str">
        <f t="shared" si="37"/>
        <v/>
      </c>
      <c r="BP20" s="19" t="str">
        <f t="shared" si="37"/>
        <v/>
      </c>
      <c r="BQ20" s="19" t="str">
        <f t="shared" si="37"/>
        <v/>
      </c>
      <c r="BR20" s="19" t="str">
        <f t="shared" si="37"/>
        <v/>
      </c>
      <c r="BS20" s="19" t="str">
        <f t="shared" si="37"/>
        <v/>
      </c>
      <c r="BT20" s="19" t="str">
        <f t="shared" si="37"/>
        <v/>
      </c>
      <c r="BU20" s="19" t="str">
        <f t="shared" si="37"/>
        <v/>
      </c>
      <c r="BV20" s="19" t="str">
        <f t="shared" si="37"/>
        <v/>
      </c>
      <c r="BW20" s="19" t="str">
        <f t="shared" si="37"/>
        <v/>
      </c>
      <c r="BX20" s="19" t="str">
        <f t="shared" si="37"/>
        <v/>
      </c>
      <c r="BY20" s="19" t="str">
        <f t="shared" si="37"/>
        <v/>
      </c>
      <c r="BZ20" s="19" t="str">
        <f t="shared" si="37"/>
        <v/>
      </c>
      <c r="CA20" s="19" t="str">
        <f t="shared" si="37"/>
        <v/>
      </c>
      <c r="CB20" s="19" t="str">
        <f t="shared" si="37"/>
        <v/>
      </c>
      <c r="CC20" s="19" t="str">
        <f t="shared" si="37"/>
        <v/>
      </c>
      <c r="CD20" s="19" t="str">
        <f t="shared" si="37"/>
        <v/>
      </c>
      <c r="CE20" s="19" t="str">
        <f t="shared" si="37"/>
        <v/>
      </c>
      <c r="CF20" s="19" t="str">
        <f t="shared" si="37"/>
        <v/>
      </c>
      <c r="CG20" s="19" t="str">
        <f t="shared" si="37"/>
        <v/>
      </c>
      <c r="CH20" s="19" t="str">
        <f t="shared" si="37"/>
        <v/>
      </c>
      <c r="CI20" s="19" t="str">
        <f t="shared" si="37"/>
        <v/>
      </c>
      <c r="CJ20" s="19" t="str">
        <f t="shared" si="37"/>
        <v/>
      </c>
      <c r="CK20" s="19" t="str">
        <f t="shared" si="37"/>
        <v/>
      </c>
      <c r="CL20" s="19" t="str">
        <f t="shared" si="37"/>
        <v/>
      </c>
      <c r="CM20" s="19" t="str">
        <f t="shared" si="37"/>
        <v/>
      </c>
      <c r="CN20" s="19" t="str">
        <f t="shared" si="37"/>
        <v/>
      </c>
      <c r="CO20" s="19" t="str">
        <f t="shared" si="37"/>
        <v/>
      </c>
      <c r="CP20" s="19" t="str">
        <f t="shared" si="37"/>
        <v/>
      </c>
      <c r="CQ20" s="19" t="str">
        <f t="shared" si="37"/>
        <v/>
      </c>
      <c r="CR20" s="19" t="str">
        <f t="shared" si="37"/>
        <v/>
      </c>
    </row>
    <row r="21" ht="18.0" customHeight="1">
      <c r="A21" s="2"/>
      <c r="B21" s="2" t="str">
        <f>Summary!D48</f>
        <v>GROUP - 300 - Trang</v>
      </c>
      <c r="C21" s="15" t="s">
        <v>21</v>
      </c>
      <c r="D21" s="2" t="str">
        <f>iferror(vlookup(B21,StaffInformation!$F:$I,2,false),"")</f>
        <v/>
      </c>
      <c r="E21" s="2">
        <f>iferror(vlookup(B21,Summary!$D:$V,19,false),)</f>
        <v>0</v>
      </c>
      <c r="F21" s="1">
        <v>1.0</v>
      </c>
      <c r="G21" s="38" t="s">
        <v>3</v>
      </c>
      <c r="H21" s="61"/>
      <c r="O21" s="60"/>
      <c r="P21" s="37"/>
      <c r="Q21" s="29">
        <v>19.0</v>
      </c>
      <c r="R21" s="30" t="s">
        <v>22</v>
      </c>
      <c r="S21" s="19"/>
      <c r="T21" s="20">
        <v>0.0</v>
      </c>
      <c r="U21" s="21" t="str">
        <f t="shared" ref="U21:AA21" si="38">if(and($T21&lt;0,$T21&lt;=U$2),$A$2, )</f>
        <v/>
      </c>
      <c r="V21" s="21" t="str">
        <f t="shared" si="38"/>
        <v/>
      </c>
      <c r="W21" s="21" t="str">
        <f t="shared" si="38"/>
        <v/>
      </c>
      <c r="X21" s="21" t="str">
        <f t="shared" si="38"/>
        <v/>
      </c>
      <c r="Y21" s="21" t="str">
        <f t="shared" si="38"/>
        <v/>
      </c>
      <c r="Z21" s="21" t="str">
        <f t="shared" si="38"/>
        <v/>
      </c>
      <c r="AA21" s="21" t="str">
        <f t="shared" si="38"/>
        <v/>
      </c>
      <c r="AB21" s="45" t="str">
        <f t="shared" si="4"/>
        <v>x</v>
      </c>
      <c r="AC21" s="19" t="str">
        <f t="shared" ref="AC21:CR21" si="39">if(and(10&gt;=$T21,$T21&gt;=AC$2),$A$4,if(and(10&lt;=$T21,$T21&gt;=AC$2),$A$5, ))</f>
        <v/>
      </c>
      <c r="AD21" s="19" t="str">
        <f t="shared" si="39"/>
        <v/>
      </c>
      <c r="AE21" s="19" t="str">
        <f t="shared" si="39"/>
        <v/>
      </c>
      <c r="AF21" s="19" t="str">
        <f t="shared" si="39"/>
        <v/>
      </c>
      <c r="AG21" s="19" t="str">
        <f t="shared" si="39"/>
        <v/>
      </c>
      <c r="AH21" s="19" t="str">
        <f t="shared" si="39"/>
        <v/>
      </c>
      <c r="AI21" s="19" t="str">
        <f t="shared" si="39"/>
        <v/>
      </c>
      <c r="AJ21" s="19" t="str">
        <f t="shared" si="39"/>
        <v/>
      </c>
      <c r="AK21" s="19" t="str">
        <f t="shared" si="39"/>
        <v/>
      </c>
      <c r="AL21" s="19" t="str">
        <f t="shared" si="39"/>
        <v/>
      </c>
      <c r="AM21" s="19" t="str">
        <f t="shared" si="39"/>
        <v/>
      </c>
      <c r="AN21" s="19" t="str">
        <f t="shared" si="39"/>
        <v/>
      </c>
      <c r="AO21" s="19" t="str">
        <f t="shared" si="39"/>
        <v/>
      </c>
      <c r="AP21" s="19" t="str">
        <f t="shared" si="39"/>
        <v/>
      </c>
      <c r="AQ21" s="19" t="str">
        <f t="shared" si="39"/>
        <v/>
      </c>
      <c r="AR21" s="19" t="str">
        <f t="shared" si="39"/>
        <v/>
      </c>
      <c r="AS21" s="19" t="str">
        <f t="shared" si="39"/>
        <v/>
      </c>
      <c r="AT21" s="19" t="str">
        <f t="shared" si="39"/>
        <v/>
      </c>
      <c r="AU21" s="19" t="str">
        <f t="shared" si="39"/>
        <v/>
      </c>
      <c r="AV21" s="19" t="str">
        <f t="shared" si="39"/>
        <v/>
      </c>
      <c r="AW21" s="19" t="str">
        <f t="shared" si="39"/>
        <v/>
      </c>
      <c r="AX21" s="19" t="str">
        <f t="shared" si="39"/>
        <v/>
      </c>
      <c r="AY21" s="19" t="str">
        <f t="shared" si="39"/>
        <v/>
      </c>
      <c r="AZ21" s="19" t="str">
        <f t="shared" si="39"/>
        <v/>
      </c>
      <c r="BA21" s="19" t="str">
        <f t="shared" si="39"/>
        <v/>
      </c>
      <c r="BB21" s="19" t="str">
        <f t="shared" si="39"/>
        <v/>
      </c>
      <c r="BC21" s="19" t="str">
        <f t="shared" si="39"/>
        <v/>
      </c>
      <c r="BD21" s="19" t="str">
        <f t="shared" si="39"/>
        <v/>
      </c>
      <c r="BE21" s="19" t="str">
        <f t="shared" si="39"/>
        <v/>
      </c>
      <c r="BF21" s="19" t="str">
        <f t="shared" si="39"/>
        <v/>
      </c>
      <c r="BG21" s="19" t="str">
        <f t="shared" si="39"/>
        <v/>
      </c>
      <c r="BH21" s="19" t="str">
        <f t="shared" si="39"/>
        <v/>
      </c>
      <c r="BI21" s="19" t="str">
        <f t="shared" si="39"/>
        <v/>
      </c>
      <c r="BJ21" s="19" t="str">
        <f t="shared" si="39"/>
        <v/>
      </c>
      <c r="BK21" s="19" t="str">
        <f t="shared" si="39"/>
        <v/>
      </c>
      <c r="BL21" s="19" t="str">
        <f t="shared" si="39"/>
        <v/>
      </c>
      <c r="BM21" s="19" t="str">
        <f t="shared" si="39"/>
        <v/>
      </c>
      <c r="BN21" s="19" t="str">
        <f t="shared" si="39"/>
        <v/>
      </c>
      <c r="BO21" s="19" t="str">
        <f t="shared" si="39"/>
        <v/>
      </c>
      <c r="BP21" s="19" t="str">
        <f t="shared" si="39"/>
        <v/>
      </c>
      <c r="BQ21" s="19" t="str">
        <f t="shared" si="39"/>
        <v/>
      </c>
      <c r="BR21" s="19" t="str">
        <f t="shared" si="39"/>
        <v/>
      </c>
      <c r="BS21" s="19" t="str">
        <f t="shared" si="39"/>
        <v/>
      </c>
      <c r="BT21" s="19" t="str">
        <f t="shared" si="39"/>
        <v/>
      </c>
      <c r="BU21" s="19" t="str">
        <f t="shared" si="39"/>
        <v/>
      </c>
      <c r="BV21" s="19" t="str">
        <f t="shared" si="39"/>
        <v/>
      </c>
      <c r="BW21" s="19" t="str">
        <f t="shared" si="39"/>
        <v/>
      </c>
      <c r="BX21" s="19" t="str">
        <f t="shared" si="39"/>
        <v/>
      </c>
      <c r="BY21" s="19" t="str">
        <f t="shared" si="39"/>
        <v/>
      </c>
      <c r="BZ21" s="19" t="str">
        <f t="shared" si="39"/>
        <v/>
      </c>
      <c r="CA21" s="19" t="str">
        <f t="shared" si="39"/>
        <v/>
      </c>
      <c r="CB21" s="19" t="str">
        <f t="shared" si="39"/>
        <v/>
      </c>
      <c r="CC21" s="19" t="str">
        <f t="shared" si="39"/>
        <v/>
      </c>
      <c r="CD21" s="19" t="str">
        <f t="shared" si="39"/>
        <v/>
      </c>
      <c r="CE21" s="19" t="str">
        <f t="shared" si="39"/>
        <v/>
      </c>
      <c r="CF21" s="19" t="str">
        <f t="shared" si="39"/>
        <v/>
      </c>
      <c r="CG21" s="19" t="str">
        <f t="shared" si="39"/>
        <v/>
      </c>
      <c r="CH21" s="19" t="str">
        <f t="shared" si="39"/>
        <v/>
      </c>
      <c r="CI21" s="19" t="str">
        <f t="shared" si="39"/>
        <v/>
      </c>
      <c r="CJ21" s="19" t="str">
        <f t="shared" si="39"/>
        <v/>
      </c>
      <c r="CK21" s="19" t="str">
        <f t="shared" si="39"/>
        <v/>
      </c>
      <c r="CL21" s="19" t="str">
        <f t="shared" si="39"/>
        <v/>
      </c>
      <c r="CM21" s="19" t="str">
        <f t="shared" si="39"/>
        <v/>
      </c>
      <c r="CN21" s="19" t="str">
        <f t="shared" si="39"/>
        <v/>
      </c>
      <c r="CO21" s="19" t="str">
        <f t="shared" si="39"/>
        <v/>
      </c>
      <c r="CP21" s="19" t="str">
        <f t="shared" si="39"/>
        <v/>
      </c>
      <c r="CQ21" s="19" t="str">
        <f t="shared" si="39"/>
        <v/>
      </c>
      <c r="CR21" s="19" t="str">
        <f t="shared" si="39"/>
        <v/>
      </c>
    </row>
    <row r="22" ht="18.75" customHeight="1">
      <c r="A22" s="2"/>
      <c r="B22" s="2" t="str">
        <f>Summary!D49</f>
        <v>GROUP - 300 - Sim</v>
      </c>
      <c r="C22" s="15" t="s">
        <v>22</v>
      </c>
      <c r="D22" s="2" t="str">
        <f>iferror(vlookup(B22,StaffInformation!$F:$I,2,false),"")</f>
        <v/>
      </c>
      <c r="E22" s="2">
        <f>iferror(vlookup(B22,Summary!$D:$V,19,false),)</f>
        <v>0</v>
      </c>
      <c r="F22" s="1">
        <v>2.0</v>
      </c>
      <c r="H22" s="34"/>
      <c r="I22" s="62"/>
      <c r="J22" s="62"/>
      <c r="K22" s="62"/>
      <c r="O22" s="60"/>
      <c r="P22" s="37"/>
      <c r="Q22" s="29">
        <v>20.0</v>
      </c>
      <c r="R22" s="30" t="s">
        <v>23</v>
      </c>
      <c r="S22" s="19"/>
      <c r="T22" s="20">
        <v>0.0</v>
      </c>
      <c r="U22" s="21" t="str">
        <f t="shared" ref="U22:AA22" si="40">if(and($T22&lt;0,$T22&lt;=U$2),$A$2, )</f>
        <v/>
      </c>
      <c r="V22" s="21" t="str">
        <f t="shared" si="40"/>
        <v/>
      </c>
      <c r="W22" s="21" t="str">
        <f t="shared" si="40"/>
        <v/>
      </c>
      <c r="X22" s="21" t="str">
        <f t="shared" si="40"/>
        <v/>
      </c>
      <c r="Y22" s="21" t="str">
        <f t="shared" si="40"/>
        <v/>
      </c>
      <c r="Z22" s="21" t="str">
        <f t="shared" si="40"/>
        <v/>
      </c>
      <c r="AA22" s="21" t="str">
        <f t="shared" si="40"/>
        <v/>
      </c>
      <c r="AB22" s="45" t="str">
        <f t="shared" si="4"/>
        <v>x</v>
      </c>
      <c r="AC22" s="19" t="str">
        <f t="shared" ref="AC22:CR22" si="41">if(and(10&gt;=$T22,$T22&gt;=AC$2),$A$4,if(and(10&lt;=$T22,$T22&gt;=AC$2),$A$5, ))</f>
        <v/>
      </c>
      <c r="AD22" s="19" t="str">
        <f t="shared" si="41"/>
        <v/>
      </c>
      <c r="AE22" s="19" t="str">
        <f t="shared" si="41"/>
        <v/>
      </c>
      <c r="AF22" s="19" t="str">
        <f t="shared" si="41"/>
        <v/>
      </c>
      <c r="AG22" s="19" t="str">
        <f t="shared" si="41"/>
        <v/>
      </c>
      <c r="AH22" s="19" t="str">
        <f t="shared" si="41"/>
        <v/>
      </c>
      <c r="AI22" s="19" t="str">
        <f t="shared" si="41"/>
        <v/>
      </c>
      <c r="AJ22" s="19" t="str">
        <f t="shared" si="41"/>
        <v/>
      </c>
      <c r="AK22" s="19" t="str">
        <f t="shared" si="41"/>
        <v/>
      </c>
      <c r="AL22" s="19" t="str">
        <f t="shared" si="41"/>
        <v/>
      </c>
      <c r="AM22" s="19" t="str">
        <f t="shared" si="41"/>
        <v/>
      </c>
      <c r="AN22" s="19" t="str">
        <f t="shared" si="41"/>
        <v/>
      </c>
      <c r="AO22" s="19" t="str">
        <f t="shared" si="41"/>
        <v/>
      </c>
      <c r="AP22" s="19" t="str">
        <f t="shared" si="41"/>
        <v/>
      </c>
      <c r="AQ22" s="19" t="str">
        <f t="shared" si="41"/>
        <v/>
      </c>
      <c r="AR22" s="19" t="str">
        <f t="shared" si="41"/>
        <v/>
      </c>
      <c r="AS22" s="19" t="str">
        <f t="shared" si="41"/>
        <v/>
      </c>
      <c r="AT22" s="19" t="str">
        <f t="shared" si="41"/>
        <v/>
      </c>
      <c r="AU22" s="19" t="str">
        <f t="shared" si="41"/>
        <v/>
      </c>
      <c r="AV22" s="19" t="str">
        <f t="shared" si="41"/>
        <v/>
      </c>
      <c r="AW22" s="19" t="str">
        <f t="shared" si="41"/>
        <v/>
      </c>
      <c r="AX22" s="19" t="str">
        <f t="shared" si="41"/>
        <v/>
      </c>
      <c r="AY22" s="19" t="str">
        <f t="shared" si="41"/>
        <v/>
      </c>
      <c r="AZ22" s="19" t="str">
        <f t="shared" si="41"/>
        <v/>
      </c>
      <c r="BA22" s="19" t="str">
        <f t="shared" si="41"/>
        <v/>
      </c>
      <c r="BB22" s="19" t="str">
        <f t="shared" si="41"/>
        <v/>
      </c>
      <c r="BC22" s="19" t="str">
        <f t="shared" si="41"/>
        <v/>
      </c>
      <c r="BD22" s="19" t="str">
        <f t="shared" si="41"/>
        <v/>
      </c>
      <c r="BE22" s="19" t="str">
        <f t="shared" si="41"/>
        <v/>
      </c>
      <c r="BF22" s="19" t="str">
        <f t="shared" si="41"/>
        <v/>
      </c>
      <c r="BG22" s="19" t="str">
        <f t="shared" si="41"/>
        <v/>
      </c>
      <c r="BH22" s="19" t="str">
        <f t="shared" si="41"/>
        <v/>
      </c>
      <c r="BI22" s="19" t="str">
        <f t="shared" si="41"/>
        <v/>
      </c>
      <c r="BJ22" s="19" t="str">
        <f t="shared" si="41"/>
        <v/>
      </c>
      <c r="BK22" s="19" t="str">
        <f t="shared" si="41"/>
        <v/>
      </c>
      <c r="BL22" s="19" t="str">
        <f t="shared" si="41"/>
        <v/>
      </c>
      <c r="BM22" s="19" t="str">
        <f t="shared" si="41"/>
        <v/>
      </c>
      <c r="BN22" s="19" t="str">
        <f t="shared" si="41"/>
        <v/>
      </c>
      <c r="BO22" s="19" t="str">
        <f t="shared" si="41"/>
        <v/>
      </c>
      <c r="BP22" s="19" t="str">
        <f t="shared" si="41"/>
        <v/>
      </c>
      <c r="BQ22" s="19" t="str">
        <f t="shared" si="41"/>
        <v/>
      </c>
      <c r="BR22" s="19" t="str">
        <f t="shared" si="41"/>
        <v/>
      </c>
      <c r="BS22" s="19" t="str">
        <f t="shared" si="41"/>
        <v/>
      </c>
      <c r="BT22" s="19" t="str">
        <f t="shared" si="41"/>
        <v/>
      </c>
      <c r="BU22" s="19" t="str">
        <f t="shared" si="41"/>
        <v/>
      </c>
      <c r="BV22" s="19" t="str">
        <f t="shared" si="41"/>
        <v/>
      </c>
      <c r="BW22" s="19" t="str">
        <f t="shared" si="41"/>
        <v/>
      </c>
      <c r="BX22" s="19" t="str">
        <f t="shared" si="41"/>
        <v/>
      </c>
      <c r="BY22" s="19" t="str">
        <f t="shared" si="41"/>
        <v/>
      </c>
      <c r="BZ22" s="19" t="str">
        <f t="shared" si="41"/>
        <v/>
      </c>
      <c r="CA22" s="19" t="str">
        <f t="shared" si="41"/>
        <v/>
      </c>
      <c r="CB22" s="19" t="str">
        <f t="shared" si="41"/>
        <v/>
      </c>
      <c r="CC22" s="19" t="str">
        <f t="shared" si="41"/>
        <v/>
      </c>
      <c r="CD22" s="19" t="str">
        <f t="shared" si="41"/>
        <v/>
      </c>
      <c r="CE22" s="19" t="str">
        <f t="shared" si="41"/>
        <v/>
      </c>
      <c r="CF22" s="19" t="str">
        <f t="shared" si="41"/>
        <v/>
      </c>
      <c r="CG22" s="19" t="str">
        <f t="shared" si="41"/>
        <v/>
      </c>
      <c r="CH22" s="19" t="str">
        <f t="shared" si="41"/>
        <v/>
      </c>
      <c r="CI22" s="19" t="str">
        <f t="shared" si="41"/>
        <v/>
      </c>
      <c r="CJ22" s="19" t="str">
        <f t="shared" si="41"/>
        <v/>
      </c>
      <c r="CK22" s="19" t="str">
        <f t="shared" si="41"/>
        <v/>
      </c>
      <c r="CL22" s="19" t="str">
        <f t="shared" si="41"/>
        <v/>
      </c>
      <c r="CM22" s="19" t="str">
        <f t="shared" si="41"/>
        <v/>
      </c>
      <c r="CN22" s="19" t="str">
        <f t="shared" si="41"/>
        <v/>
      </c>
      <c r="CO22" s="19" t="str">
        <f t="shared" si="41"/>
        <v/>
      </c>
      <c r="CP22" s="19" t="str">
        <f t="shared" si="41"/>
        <v/>
      </c>
      <c r="CQ22" s="19" t="str">
        <f t="shared" si="41"/>
        <v/>
      </c>
      <c r="CR22" s="19" t="str">
        <f t="shared" si="41"/>
        <v/>
      </c>
    </row>
    <row r="23">
      <c r="A23" s="2"/>
      <c r="B23" s="2" t="str">
        <f>Summary!D50</f>
        <v>GROUP - 300 - Thuy</v>
      </c>
      <c r="C23" s="15" t="s">
        <v>23</v>
      </c>
      <c r="D23" s="2" t="str">
        <f>iferror(vlookup(B23,StaffInformation!$F:$I,2,false),"")</f>
        <v/>
      </c>
      <c r="E23" s="2">
        <f>iferror(vlookup(B23,Summary!$D:$V,19,false),)</f>
        <v>0</v>
      </c>
      <c r="F23" s="1">
        <v>3.0</v>
      </c>
      <c r="G23" s="38" t="s">
        <v>3</v>
      </c>
      <c r="H23" s="63"/>
      <c r="I23" s="57"/>
      <c r="J23" s="64"/>
      <c r="L23" s="42"/>
      <c r="O23" s="65"/>
      <c r="P23" s="31"/>
      <c r="Q23" s="29">
        <v>21.0</v>
      </c>
      <c r="R23" s="30" t="s">
        <v>24</v>
      </c>
      <c r="S23" s="19"/>
      <c r="T23" s="20">
        <v>0.0</v>
      </c>
      <c r="U23" s="21" t="str">
        <f t="shared" ref="U23:AA23" si="42">if(and($T23&lt;0,$T23&lt;=U$2),$A$2, )</f>
        <v/>
      </c>
      <c r="V23" s="21" t="str">
        <f t="shared" si="42"/>
        <v/>
      </c>
      <c r="W23" s="21" t="str">
        <f t="shared" si="42"/>
        <v/>
      </c>
      <c r="X23" s="21" t="str">
        <f t="shared" si="42"/>
        <v/>
      </c>
      <c r="Y23" s="21" t="str">
        <f t="shared" si="42"/>
        <v/>
      </c>
      <c r="Z23" s="21" t="str">
        <f t="shared" si="42"/>
        <v/>
      </c>
      <c r="AA23" s="21" t="str">
        <f t="shared" si="42"/>
        <v/>
      </c>
      <c r="AB23" s="45" t="str">
        <f t="shared" si="4"/>
        <v>x</v>
      </c>
      <c r="AC23" s="19" t="str">
        <f t="shared" ref="AC23:CR23" si="43">if(and(10&gt;=$T23,$T23&gt;=AC$2),$A$4,if(and(10&lt;=$T23,$T23&gt;=AC$2),$A$5, ))</f>
        <v/>
      </c>
      <c r="AD23" s="19" t="str">
        <f t="shared" si="43"/>
        <v/>
      </c>
      <c r="AE23" s="19" t="str">
        <f t="shared" si="43"/>
        <v/>
      </c>
      <c r="AF23" s="19" t="str">
        <f t="shared" si="43"/>
        <v/>
      </c>
      <c r="AG23" s="19" t="str">
        <f t="shared" si="43"/>
        <v/>
      </c>
      <c r="AH23" s="19" t="str">
        <f t="shared" si="43"/>
        <v/>
      </c>
      <c r="AI23" s="19" t="str">
        <f t="shared" si="43"/>
        <v/>
      </c>
      <c r="AJ23" s="19" t="str">
        <f t="shared" si="43"/>
        <v/>
      </c>
      <c r="AK23" s="19" t="str">
        <f t="shared" si="43"/>
        <v/>
      </c>
      <c r="AL23" s="19" t="str">
        <f t="shared" si="43"/>
        <v/>
      </c>
      <c r="AM23" s="19" t="str">
        <f t="shared" si="43"/>
        <v/>
      </c>
      <c r="AN23" s="19" t="str">
        <f t="shared" si="43"/>
        <v/>
      </c>
      <c r="AO23" s="19" t="str">
        <f t="shared" si="43"/>
        <v/>
      </c>
      <c r="AP23" s="19" t="str">
        <f t="shared" si="43"/>
        <v/>
      </c>
      <c r="AQ23" s="19" t="str">
        <f t="shared" si="43"/>
        <v/>
      </c>
      <c r="AR23" s="19" t="str">
        <f t="shared" si="43"/>
        <v/>
      </c>
      <c r="AS23" s="19" t="str">
        <f t="shared" si="43"/>
        <v/>
      </c>
      <c r="AT23" s="19" t="str">
        <f t="shared" si="43"/>
        <v/>
      </c>
      <c r="AU23" s="19" t="str">
        <f t="shared" si="43"/>
        <v/>
      </c>
      <c r="AV23" s="19" t="str">
        <f t="shared" si="43"/>
        <v/>
      </c>
      <c r="AW23" s="19" t="str">
        <f t="shared" si="43"/>
        <v/>
      </c>
      <c r="AX23" s="19" t="str">
        <f t="shared" si="43"/>
        <v/>
      </c>
      <c r="AY23" s="19" t="str">
        <f t="shared" si="43"/>
        <v/>
      </c>
      <c r="AZ23" s="19" t="str">
        <f t="shared" si="43"/>
        <v/>
      </c>
      <c r="BA23" s="19" t="str">
        <f t="shared" si="43"/>
        <v/>
      </c>
      <c r="BB23" s="19" t="str">
        <f t="shared" si="43"/>
        <v/>
      </c>
      <c r="BC23" s="19" t="str">
        <f t="shared" si="43"/>
        <v/>
      </c>
      <c r="BD23" s="19" t="str">
        <f t="shared" si="43"/>
        <v/>
      </c>
      <c r="BE23" s="19" t="str">
        <f t="shared" si="43"/>
        <v/>
      </c>
      <c r="BF23" s="19" t="str">
        <f t="shared" si="43"/>
        <v/>
      </c>
      <c r="BG23" s="19" t="str">
        <f t="shared" si="43"/>
        <v/>
      </c>
      <c r="BH23" s="19" t="str">
        <f t="shared" si="43"/>
        <v/>
      </c>
      <c r="BI23" s="19" t="str">
        <f t="shared" si="43"/>
        <v/>
      </c>
      <c r="BJ23" s="19" t="str">
        <f t="shared" si="43"/>
        <v/>
      </c>
      <c r="BK23" s="19" t="str">
        <f t="shared" si="43"/>
        <v/>
      </c>
      <c r="BL23" s="19" t="str">
        <f t="shared" si="43"/>
        <v/>
      </c>
      <c r="BM23" s="19" t="str">
        <f t="shared" si="43"/>
        <v/>
      </c>
      <c r="BN23" s="19" t="str">
        <f t="shared" si="43"/>
        <v/>
      </c>
      <c r="BO23" s="19" t="str">
        <f t="shared" si="43"/>
        <v/>
      </c>
      <c r="BP23" s="19" t="str">
        <f t="shared" si="43"/>
        <v/>
      </c>
      <c r="BQ23" s="19" t="str">
        <f t="shared" si="43"/>
        <v/>
      </c>
      <c r="BR23" s="19" t="str">
        <f t="shared" si="43"/>
        <v/>
      </c>
      <c r="BS23" s="19" t="str">
        <f t="shared" si="43"/>
        <v/>
      </c>
      <c r="BT23" s="19" t="str">
        <f t="shared" si="43"/>
        <v/>
      </c>
      <c r="BU23" s="19" t="str">
        <f t="shared" si="43"/>
        <v/>
      </c>
      <c r="BV23" s="19" t="str">
        <f t="shared" si="43"/>
        <v/>
      </c>
      <c r="BW23" s="19" t="str">
        <f t="shared" si="43"/>
        <v/>
      </c>
      <c r="BX23" s="19" t="str">
        <f t="shared" si="43"/>
        <v/>
      </c>
      <c r="BY23" s="19" t="str">
        <f t="shared" si="43"/>
        <v/>
      </c>
      <c r="BZ23" s="19" t="str">
        <f t="shared" si="43"/>
        <v/>
      </c>
      <c r="CA23" s="19" t="str">
        <f t="shared" si="43"/>
        <v/>
      </c>
      <c r="CB23" s="19" t="str">
        <f t="shared" si="43"/>
        <v/>
      </c>
      <c r="CC23" s="19" t="str">
        <f t="shared" si="43"/>
        <v/>
      </c>
      <c r="CD23" s="19" t="str">
        <f t="shared" si="43"/>
        <v/>
      </c>
      <c r="CE23" s="19" t="str">
        <f t="shared" si="43"/>
        <v/>
      </c>
      <c r="CF23" s="19" t="str">
        <f t="shared" si="43"/>
        <v/>
      </c>
      <c r="CG23" s="19" t="str">
        <f t="shared" si="43"/>
        <v/>
      </c>
      <c r="CH23" s="19" t="str">
        <f t="shared" si="43"/>
        <v/>
      </c>
      <c r="CI23" s="19" t="str">
        <f t="shared" si="43"/>
        <v/>
      </c>
      <c r="CJ23" s="19" t="str">
        <f t="shared" si="43"/>
        <v/>
      </c>
      <c r="CK23" s="19" t="str">
        <f t="shared" si="43"/>
        <v/>
      </c>
      <c r="CL23" s="19" t="str">
        <f t="shared" si="43"/>
        <v/>
      </c>
      <c r="CM23" s="19" t="str">
        <f t="shared" si="43"/>
        <v/>
      </c>
      <c r="CN23" s="19" t="str">
        <f t="shared" si="43"/>
        <v/>
      </c>
      <c r="CO23" s="19" t="str">
        <f t="shared" si="43"/>
        <v/>
      </c>
      <c r="CP23" s="19" t="str">
        <f t="shared" si="43"/>
        <v/>
      </c>
      <c r="CQ23" s="19" t="str">
        <f t="shared" si="43"/>
        <v/>
      </c>
      <c r="CR23" s="19" t="str">
        <f t="shared" si="43"/>
        <v/>
      </c>
    </row>
    <row r="24">
      <c r="A24" s="2"/>
      <c r="B24" s="2" t="str">
        <f>Summary!D51</f>
        <v>GROUP - 300 - Hong</v>
      </c>
      <c r="C24" s="15" t="s">
        <v>24</v>
      </c>
      <c r="D24" s="2" t="str">
        <f>iferror(vlookup(B24,StaffInformation!$F:$I,2,false),"")</f>
        <v/>
      </c>
      <c r="E24" s="2">
        <f>iferror(vlookup(B24,Summary!$D:$V,19,false),)</f>
        <v>0</v>
      </c>
      <c r="F24" s="1">
        <v>4.0</v>
      </c>
      <c r="H24" s="34"/>
      <c r="I24" s="47"/>
      <c r="O24" s="48"/>
      <c r="P24" s="31"/>
      <c r="Q24" s="29">
        <v>22.0</v>
      </c>
      <c r="R24" s="30" t="s">
        <v>25</v>
      </c>
      <c r="S24" s="19"/>
      <c r="T24" s="20">
        <v>0.0</v>
      </c>
      <c r="U24" s="21" t="str">
        <f t="shared" ref="U24:AA24" si="44">if(and($T24&lt;0,$T24&lt;=U$2),$A$2, )</f>
        <v/>
      </c>
      <c r="V24" s="21" t="str">
        <f t="shared" si="44"/>
        <v/>
      </c>
      <c r="W24" s="21" t="str">
        <f t="shared" si="44"/>
        <v/>
      </c>
      <c r="X24" s="21" t="str">
        <f t="shared" si="44"/>
        <v/>
      </c>
      <c r="Y24" s="21" t="str">
        <f t="shared" si="44"/>
        <v/>
      </c>
      <c r="Z24" s="21" t="str">
        <f t="shared" si="44"/>
        <v/>
      </c>
      <c r="AA24" s="21" t="str">
        <f t="shared" si="44"/>
        <v/>
      </c>
      <c r="AB24" s="45" t="str">
        <f t="shared" si="4"/>
        <v>x</v>
      </c>
      <c r="AC24" s="19" t="str">
        <f t="shared" ref="AC24:CR24" si="45">if(and(10&gt;=$T24,$T24&gt;=AC$2),$A$4,if(and(10&lt;=$T24,$T24&gt;=AC$2),$A$5, ))</f>
        <v/>
      </c>
      <c r="AD24" s="19" t="str">
        <f t="shared" si="45"/>
        <v/>
      </c>
      <c r="AE24" s="19" t="str">
        <f t="shared" si="45"/>
        <v/>
      </c>
      <c r="AF24" s="19" t="str">
        <f t="shared" si="45"/>
        <v/>
      </c>
      <c r="AG24" s="19" t="str">
        <f t="shared" si="45"/>
        <v/>
      </c>
      <c r="AH24" s="19" t="str">
        <f t="shared" si="45"/>
        <v/>
      </c>
      <c r="AI24" s="19" t="str">
        <f t="shared" si="45"/>
        <v/>
      </c>
      <c r="AJ24" s="19" t="str">
        <f t="shared" si="45"/>
        <v/>
      </c>
      <c r="AK24" s="19" t="str">
        <f t="shared" si="45"/>
        <v/>
      </c>
      <c r="AL24" s="19" t="str">
        <f t="shared" si="45"/>
        <v/>
      </c>
      <c r="AM24" s="19" t="str">
        <f t="shared" si="45"/>
        <v/>
      </c>
      <c r="AN24" s="19" t="str">
        <f t="shared" si="45"/>
        <v/>
      </c>
      <c r="AO24" s="19" t="str">
        <f t="shared" si="45"/>
        <v/>
      </c>
      <c r="AP24" s="19" t="str">
        <f t="shared" si="45"/>
        <v/>
      </c>
      <c r="AQ24" s="19" t="str">
        <f t="shared" si="45"/>
        <v/>
      </c>
      <c r="AR24" s="19" t="str">
        <f t="shared" si="45"/>
        <v/>
      </c>
      <c r="AS24" s="19" t="str">
        <f t="shared" si="45"/>
        <v/>
      </c>
      <c r="AT24" s="19" t="str">
        <f t="shared" si="45"/>
        <v/>
      </c>
      <c r="AU24" s="19" t="str">
        <f t="shared" si="45"/>
        <v/>
      </c>
      <c r="AV24" s="19" t="str">
        <f t="shared" si="45"/>
        <v/>
      </c>
      <c r="AW24" s="19" t="str">
        <f t="shared" si="45"/>
        <v/>
      </c>
      <c r="AX24" s="19" t="str">
        <f t="shared" si="45"/>
        <v/>
      </c>
      <c r="AY24" s="19" t="str">
        <f t="shared" si="45"/>
        <v/>
      </c>
      <c r="AZ24" s="19" t="str">
        <f t="shared" si="45"/>
        <v/>
      </c>
      <c r="BA24" s="19" t="str">
        <f t="shared" si="45"/>
        <v/>
      </c>
      <c r="BB24" s="19" t="str">
        <f t="shared" si="45"/>
        <v/>
      </c>
      <c r="BC24" s="19" t="str">
        <f t="shared" si="45"/>
        <v/>
      </c>
      <c r="BD24" s="19" t="str">
        <f t="shared" si="45"/>
        <v/>
      </c>
      <c r="BE24" s="19" t="str">
        <f t="shared" si="45"/>
        <v/>
      </c>
      <c r="BF24" s="19" t="str">
        <f t="shared" si="45"/>
        <v/>
      </c>
      <c r="BG24" s="19" t="str">
        <f t="shared" si="45"/>
        <v/>
      </c>
      <c r="BH24" s="19" t="str">
        <f t="shared" si="45"/>
        <v/>
      </c>
      <c r="BI24" s="19" t="str">
        <f t="shared" si="45"/>
        <v/>
      </c>
      <c r="BJ24" s="19" t="str">
        <f t="shared" si="45"/>
        <v/>
      </c>
      <c r="BK24" s="19" t="str">
        <f t="shared" si="45"/>
        <v/>
      </c>
      <c r="BL24" s="19" t="str">
        <f t="shared" si="45"/>
        <v/>
      </c>
      <c r="BM24" s="19" t="str">
        <f t="shared" si="45"/>
        <v/>
      </c>
      <c r="BN24" s="19" t="str">
        <f t="shared" si="45"/>
        <v/>
      </c>
      <c r="BO24" s="19" t="str">
        <f t="shared" si="45"/>
        <v/>
      </c>
      <c r="BP24" s="19" t="str">
        <f t="shared" si="45"/>
        <v/>
      </c>
      <c r="BQ24" s="19" t="str">
        <f t="shared" si="45"/>
        <v/>
      </c>
      <c r="BR24" s="19" t="str">
        <f t="shared" si="45"/>
        <v/>
      </c>
      <c r="BS24" s="19" t="str">
        <f t="shared" si="45"/>
        <v/>
      </c>
      <c r="BT24" s="19" t="str">
        <f t="shared" si="45"/>
        <v/>
      </c>
      <c r="BU24" s="19" t="str">
        <f t="shared" si="45"/>
        <v/>
      </c>
      <c r="BV24" s="19" t="str">
        <f t="shared" si="45"/>
        <v/>
      </c>
      <c r="BW24" s="19" t="str">
        <f t="shared" si="45"/>
        <v/>
      </c>
      <c r="BX24" s="19" t="str">
        <f t="shared" si="45"/>
        <v/>
      </c>
      <c r="BY24" s="19" t="str">
        <f t="shared" si="45"/>
        <v/>
      </c>
      <c r="BZ24" s="19" t="str">
        <f t="shared" si="45"/>
        <v/>
      </c>
      <c r="CA24" s="19" t="str">
        <f t="shared" si="45"/>
        <v/>
      </c>
      <c r="CB24" s="19" t="str">
        <f t="shared" si="45"/>
        <v/>
      </c>
      <c r="CC24" s="19" t="str">
        <f t="shared" si="45"/>
        <v/>
      </c>
      <c r="CD24" s="19" t="str">
        <f t="shared" si="45"/>
        <v/>
      </c>
      <c r="CE24" s="19" t="str">
        <f t="shared" si="45"/>
        <v/>
      </c>
      <c r="CF24" s="19" t="str">
        <f t="shared" si="45"/>
        <v/>
      </c>
      <c r="CG24" s="19" t="str">
        <f t="shared" si="45"/>
        <v/>
      </c>
      <c r="CH24" s="19" t="str">
        <f t="shared" si="45"/>
        <v/>
      </c>
      <c r="CI24" s="19" t="str">
        <f t="shared" si="45"/>
        <v/>
      </c>
      <c r="CJ24" s="19" t="str">
        <f t="shared" si="45"/>
        <v/>
      </c>
      <c r="CK24" s="19" t="str">
        <f t="shared" si="45"/>
        <v/>
      </c>
      <c r="CL24" s="19" t="str">
        <f t="shared" si="45"/>
        <v/>
      </c>
      <c r="CM24" s="19" t="str">
        <f t="shared" si="45"/>
        <v/>
      </c>
      <c r="CN24" s="19" t="str">
        <f t="shared" si="45"/>
        <v/>
      </c>
      <c r="CO24" s="19" t="str">
        <f t="shared" si="45"/>
        <v/>
      </c>
      <c r="CP24" s="19" t="str">
        <f t="shared" si="45"/>
        <v/>
      </c>
      <c r="CQ24" s="19" t="str">
        <f t="shared" si="45"/>
        <v/>
      </c>
      <c r="CR24" s="19" t="str">
        <f t="shared" si="45"/>
        <v/>
      </c>
    </row>
    <row r="25">
      <c r="A25" s="2"/>
      <c r="B25" s="2" t="str">
        <f>Summary!D52</f>
        <v>GROUP - 500 - Tam</v>
      </c>
      <c r="C25" s="15" t="s">
        <v>25</v>
      </c>
      <c r="D25" s="2" t="str">
        <f>iferror(vlookup(B25,StaffInformation!$F:$I,2,false),"")</f>
        <v/>
      </c>
      <c r="E25" s="2">
        <f>iferror(vlookup(B25,Summary!$D:$V,19,false),)</f>
        <v>0</v>
      </c>
      <c r="F25" s="1">
        <v>5.0</v>
      </c>
      <c r="G25" s="38" t="s">
        <v>3</v>
      </c>
      <c r="H25" s="66"/>
      <c r="I25" s="67" t="s">
        <v>26</v>
      </c>
      <c r="J25" s="68"/>
      <c r="K25" s="68"/>
      <c r="L25" s="69"/>
      <c r="M25" s="28"/>
      <c r="N25" s="29"/>
      <c r="O25" s="70"/>
      <c r="P25" s="31"/>
      <c r="Q25" s="29">
        <v>23.0</v>
      </c>
      <c r="R25" s="30" t="s">
        <v>27</v>
      </c>
      <c r="S25" s="19" t="s">
        <v>8</v>
      </c>
      <c r="T25" s="20">
        <v>0.0</v>
      </c>
      <c r="U25" s="21" t="str">
        <f t="shared" ref="U25:AA25" si="46">if(and($T25&lt;0,$T25&lt;=U$2),$A$2, )</f>
        <v/>
      </c>
      <c r="V25" s="21" t="str">
        <f t="shared" si="46"/>
        <v/>
      </c>
      <c r="W25" s="21" t="str">
        <f t="shared" si="46"/>
        <v/>
      </c>
      <c r="X25" s="21" t="str">
        <f t="shared" si="46"/>
        <v/>
      </c>
      <c r="Y25" s="21" t="str">
        <f t="shared" si="46"/>
        <v/>
      </c>
      <c r="Z25" s="21" t="str">
        <f t="shared" si="46"/>
        <v/>
      </c>
      <c r="AA25" s="21" t="str">
        <f t="shared" si="46"/>
        <v/>
      </c>
      <c r="AB25" s="45" t="str">
        <f t="shared" si="4"/>
        <v>x</v>
      </c>
      <c r="AC25" s="19" t="str">
        <f t="shared" ref="AC25:CR25" si="47">if(and(10&gt;=$T25,$T25&gt;=AC$2),$A$4,if(and(10&lt;=$T25,$T25&gt;=AC$2),$A$5, ))</f>
        <v/>
      </c>
      <c r="AD25" s="19" t="str">
        <f t="shared" si="47"/>
        <v/>
      </c>
      <c r="AE25" s="19" t="str">
        <f t="shared" si="47"/>
        <v/>
      </c>
      <c r="AF25" s="19" t="str">
        <f t="shared" si="47"/>
        <v/>
      </c>
      <c r="AG25" s="19" t="str">
        <f t="shared" si="47"/>
        <v/>
      </c>
      <c r="AH25" s="19" t="str">
        <f t="shared" si="47"/>
        <v/>
      </c>
      <c r="AI25" s="19" t="str">
        <f t="shared" si="47"/>
        <v/>
      </c>
      <c r="AJ25" s="19" t="str">
        <f t="shared" si="47"/>
        <v/>
      </c>
      <c r="AK25" s="19" t="str">
        <f t="shared" si="47"/>
        <v/>
      </c>
      <c r="AL25" s="19" t="str">
        <f t="shared" si="47"/>
        <v/>
      </c>
      <c r="AM25" s="19" t="str">
        <f t="shared" si="47"/>
        <v/>
      </c>
      <c r="AN25" s="19" t="str">
        <f t="shared" si="47"/>
        <v/>
      </c>
      <c r="AO25" s="19" t="str">
        <f t="shared" si="47"/>
        <v/>
      </c>
      <c r="AP25" s="19" t="str">
        <f t="shared" si="47"/>
        <v/>
      </c>
      <c r="AQ25" s="19" t="str">
        <f t="shared" si="47"/>
        <v/>
      </c>
      <c r="AR25" s="19" t="str">
        <f t="shared" si="47"/>
        <v/>
      </c>
      <c r="AS25" s="19" t="str">
        <f t="shared" si="47"/>
        <v/>
      </c>
      <c r="AT25" s="19" t="str">
        <f t="shared" si="47"/>
        <v/>
      </c>
      <c r="AU25" s="19" t="str">
        <f t="shared" si="47"/>
        <v/>
      </c>
      <c r="AV25" s="19" t="str">
        <f t="shared" si="47"/>
        <v/>
      </c>
      <c r="AW25" s="19" t="str">
        <f t="shared" si="47"/>
        <v/>
      </c>
      <c r="AX25" s="19" t="str">
        <f t="shared" si="47"/>
        <v/>
      </c>
      <c r="AY25" s="19" t="str">
        <f t="shared" si="47"/>
        <v/>
      </c>
      <c r="AZ25" s="19" t="str">
        <f t="shared" si="47"/>
        <v/>
      </c>
      <c r="BA25" s="19" t="str">
        <f t="shared" si="47"/>
        <v/>
      </c>
      <c r="BB25" s="19" t="str">
        <f t="shared" si="47"/>
        <v/>
      </c>
      <c r="BC25" s="19" t="str">
        <f t="shared" si="47"/>
        <v/>
      </c>
      <c r="BD25" s="19" t="str">
        <f t="shared" si="47"/>
        <v/>
      </c>
      <c r="BE25" s="19" t="str">
        <f t="shared" si="47"/>
        <v/>
      </c>
      <c r="BF25" s="19" t="str">
        <f t="shared" si="47"/>
        <v/>
      </c>
      <c r="BG25" s="19" t="str">
        <f t="shared" si="47"/>
        <v/>
      </c>
      <c r="BH25" s="19" t="str">
        <f t="shared" si="47"/>
        <v/>
      </c>
      <c r="BI25" s="19" t="str">
        <f t="shared" si="47"/>
        <v/>
      </c>
      <c r="BJ25" s="19" t="str">
        <f t="shared" si="47"/>
        <v/>
      </c>
      <c r="BK25" s="19" t="str">
        <f t="shared" si="47"/>
        <v/>
      </c>
      <c r="BL25" s="19" t="str">
        <f t="shared" si="47"/>
        <v/>
      </c>
      <c r="BM25" s="19" t="str">
        <f t="shared" si="47"/>
        <v/>
      </c>
      <c r="BN25" s="19" t="str">
        <f t="shared" si="47"/>
        <v/>
      </c>
      <c r="BO25" s="19" t="str">
        <f t="shared" si="47"/>
        <v/>
      </c>
      <c r="BP25" s="19" t="str">
        <f t="shared" si="47"/>
        <v/>
      </c>
      <c r="BQ25" s="19" t="str">
        <f t="shared" si="47"/>
        <v/>
      </c>
      <c r="BR25" s="19" t="str">
        <f t="shared" si="47"/>
        <v/>
      </c>
      <c r="BS25" s="19" t="str">
        <f t="shared" si="47"/>
        <v/>
      </c>
      <c r="BT25" s="19" t="str">
        <f t="shared" si="47"/>
        <v/>
      </c>
      <c r="BU25" s="19" t="str">
        <f t="shared" si="47"/>
        <v/>
      </c>
      <c r="BV25" s="19" t="str">
        <f t="shared" si="47"/>
        <v/>
      </c>
      <c r="BW25" s="19" t="str">
        <f t="shared" si="47"/>
        <v/>
      </c>
      <c r="BX25" s="19" t="str">
        <f t="shared" si="47"/>
        <v/>
      </c>
      <c r="BY25" s="19" t="str">
        <f t="shared" si="47"/>
        <v/>
      </c>
      <c r="BZ25" s="19" t="str">
        <f t="shared" si="47"/>
        <v/>
      </c>
      <c r="CA25" s="19" t="str">
        <f t="shared" si="47"/>
        <v/>
      </c>
      <c r="CB25" s="19" t="str">
        <f t="shared" si="47"/>
        <v/>
      </c>
      <c r="CC25" s="19" t="str">
        <f t="shared" si="47"/>
        <v/>
      </c>
      <c r="CD25" s="19" t="str">
        <f t="shared" si="47"/>
        <v/>
      </c>
      <c r="CE25" s="19" t="str">
        <f t="shared" si="47"/>
        <v/>
      </c>
      <c r="CF25" s="19" t="str">
        <f t="shared" si="47"/>
        <v/>
      </c>
      <c r="CG25" s="19" t="str">
        <f t="shared" si="47"/>
        <v/>
      </c>
      <c r="CH25" s="19" t="str">
        <f t="shared" si="47"/>
        <v/>
      </c>
      <c r="CI25" s="19" t="str">
        <f t="shared" si="47"/>
        <v/>
      </c>
      <c r="CJ25" s="19" t="str">
        <f t="shared" si="47"/>
        <v/>
      </c>
      <c r="CK25" s="19" t="str">
        <f t="shared" si="47"/>
        <v/>
      </c>
      <c r="CL25" s="19" t="str">
        <f t="shared" si="47"/>
        <v/>
      </c>
      <c r="CM25" s="19" t="str">
        <f t="shared" si="47"/>
        <v/>
      </c>
      <c r="CN25" s="19" t="str">
        <f t="shared" si="47"/>
        <v/>
      </c>
      <c r="CO25" s="19" t="str">
        <f t="shared" si="47"/>
        <v/>
      </c>
      <c r="CP25" s="19" t="str">
        <f t="shared" si="47"/>
        <v/>
      </c>
      <c r="CQ25" s="19" t="str">
        <f t="shared" si="47"/>
        <v/>
      </c>
      <c r="CR25" s="19" t="str">
        <f t="shared" si="47"/>
        <v/>
      </c>
    </row>
    <row r="26">
      <c r="A26" s="2"/>
      <c r="B26" s="2" t="str">
        <f>Summary!D53</f>
        <v>GROUP - 500 - Thao</v>
      </c>
      <c r="C26" s="15" t="s">
        <v>27</v>
      </c>
      <c r="D26" s="2" t="str">
        <f>iferror(vlookup(B26,'Copy of StaffInformation'!$F:$I,2,false),"")</f>
        <v/>
      </c>
      <c r="E26" s="2">
        <f>iferror(vlookup(B26,Summary!$D:$V,19,false),)</f>
        <v>0</v>
      </c>
      <c r="G26" s="25" t="str">
        <f t="shared" ref="G26:G29" si="50">"complete"&amp;$H$5&amp;F21</f>
        <v>completeHieu.6001</v>
      </c>
      <c r="H26" s="71" t="s">
        <v>28</v>
      </c>
      <c r="I26" s="28" t="str">
        <f t="shared" ref="I26:I29" si="51">if(J26=$G$2,,"🏅")</f>
        <v/>
      </c>
      <c r="J26" s="36" t="str">
        <f>vlookup(G26,StaffInformation!$C:$F,3,false)</f>
        <v/>
      </c>
      <c r="O26" s="36"/>
      <c r="P26" s="8"/>
      <c r="Q26" s="29">
        <v>24.0</v>
      </c>
      <c r="R26" s="30" t="s">
        <v>29</v>
      </c>
      <c r="S26" s="19"/>
      <c r="T26" s="20">
        <v>0.0</v>
      </c>
      <c r="U26" s="21" t="str">
        <f t="shared" ref="U26:AA26" si="48">if(and($T26&lt;0,$T26&lt;=U$2),$A$2, )</f>
        <v/>
      </c>
      <c r="V26" s="21" t="str">
        <f t="shared" si="48"/>
        <v/>
      </c>
      <c r="W26" s="21" t="str">
        <f t="shared" si="48"/>
        <v/>
      </c>
      <c r="X26" s="21" t="str">
        <f t="shared" si="48"/>
        <v/>
      </c>
      <c r="Y26" s="21" t="str">
        <f t="shared" si="48"/>
        <v/>
      </c>
      <c r="Z26" s="21" t="str">
        <f t="shared" si="48"/>
        <v/>
      </c>
      <c r="AA26" s="21" t="str">
        <f t="shared" si="48"/>
        <v/>
      </c>
      <c r="AB26" s="45" t="str">
        <f t="shared" si="4"/>
        <v>x</v>
      </c>
      <c r="AC26" s="19" t="str">
        <f t="shared" ref="AC26:CR26" si="49">if(and(10&gt;=$T26,$T26&gt;=AC$2),$A$4,if(and(10&lt;=$T26,$T26&gt;=AC$2),$A$5, ))</f>
        <v/>
      </c>
      <c r="AD26" s="19" t="str">
        <f t="shared" si="49"/>
        <v/>
      </c>
      <c r="AE26" s="19" t="str">
        <f t="shared" si="49"/>
        <v/>
      </c>
      <c r="AF26" s="19" t="str">
        <f t="shared" si="49"/>
        <v/>
      </c>
      <c r="AG26" s="19" t="str">
        <f t="shared" si="49"/>
        <v/>
      </c>
      <c r="AH26" s="19" t="str">
        <f t="shared" si="49"/>
        <v/>
      </c>
      <c r="AI26" s="19" t="str">
        <f t="shared" si="49"/>
        <v/>
      </c>
      <c r="AJ26" s="19" t="str">
        <f t="shared" si="49"/>
        <v/>
      </c>
      <c r="AK26" s="19" t="str">
        <f t="shared" si="49"/>
        <v/>
      </c>
      <c r="AL26" s="19" t="str">
        <f t="shared" si="49"/>
        <v/>
      </c>
      <c r="AM26" s="19" t="str">
        <f t="shared" si="49"/>
        <v/>
      </c>
      <c r="AN26" s="19" t="str">
        <f t="shared" si="49"/>
        <v/>
      </c>
      <c r="AO26" s="19" t="str">
        <f t="shared" si="49"/>
        <v/>
      </c>
      <c r="AP26" s="19" t="str">
        <f t="shared" si="49"/>
        <v/>
      </c>
      <c r="AQ26" s="19" t="str">
        <f t="shared" si="49"/>
        <v/>
      </c>
      <c r="AR26" s="19" t="str">
        <f t="shared" si="49"/>
        <v/>
      </c>
      <c r="AS26" s="19" t="str">
        <f t="shared" si="49"/>
        <v/>
      </c>
      <c r="AT26" s="19" t="str">
        <f t="shared" si="49"/>
        <v/>
      </c>
      <c r="AU26" s="19" t="str">
        <f t="shared" si="49"/>
        <v/>
      </c>
      <c r="AV26" s="19" t="str">
        <f t="shared" si="49"/>
        <v/>
      </c>
      <c r="AW26" s="19" t="str">
        <f t="shared" si="49"/>
        <v/>
      </c>
      <c r="AX26" s="19" t="str">
        <f t="shared" si="49"/>
        <v/>
      </c>
      <c r="AY26" s="19" t="str">
        <f t="shared" si="49"/>
        <v/>
      </c>
      <c r="AZ26" s="19" t="str">
        <f t="shared" si="49"/>
        <v/>
      </c>
      <c r="BA26" s="19" t="str">
        <f t="shared" si="49"/>
        <v/>
      </c>
      <c r="BB26" s="19" t="str">
        <f t="shared" si="49"/>
        <v/>
      </c>
      <c r="BC26" s="19" t="str">
        <f t="shared" si="49"/>
        <v/>
      </c>
      <c r="BD26" s="19" t="str">
        <f t="shared" si="49"/>
        <v/>
      </c>
      <c r="BE26" s="19" t="str">
        <f t="shared" si="49"/>
        <v/>
      </c>
      <c r="BF26" s="19" t="str">
        <f t="shared" si="49"/>
        <v/>
      </c>
      <c r="BG26" s="19" t="str">
        <f t="shared" si="49"/>
        <v/>
      </c>
      <c r="BH26" s="19" t="str">
        <f t="shared" si="49"/>
        <v/>
      </c>
      <c r="BI26" s="19" t="str">
        <f t="shared" si="49"/>
        <v/>
      </c>
      <c r="BJ26" s="19" t="str">
        <f t="shared" si="49"/>
        <v/>
      </c>
      <c r="BK26" s="19" t="str">
        <f t="shared" si="49"/>
        <v/>
      </c>
      <c r="BL26" s="19" t="str">
        <f t="shared" si="49"/>
        <v/>
      </c>
      <c r="BM26" s="19" t="str">
        <f t="shared" si="49"/>
        <v/>
      </c>
      <c r="BN26" s="19" t="str">
        <f t="shared" si="49"/>
        <v/>
      </c>
      <c r="BO26" s="19" t="str">
        <f t="shared" si="49"/>
        <v/>
      </c>
      <c r="BP26" s="19" t="str">
        <f t="shared" si="49"/>
        <v/>
      </c>
      <c r="BQ26" s="19" t="str">
        <f t="shared" si="49"/>
        <v/>
      </c>
      <c r="BR26" s="19" t="str">
        <f t="shared" si="49"/>
        <v/>
      </c>
      <c r="BS26" s="19" t="str">
        <f t="shared" si="49"/>
        <v/>
      </c>
      <c r="BT26" s="19" t="str">
        <f t="shared" si="49"/>
        <v/>
      </c>
      <c r="BU26" s="19" t="str">
        <f t="shared" si="49"/>
        <v/>
      </c>
      <c r="BV26" s="19" t="str">
        <f t="shared" si="49"/>
        <v/>
      </c>
      <c r="BW26" s="19" t="str">
        <f t="shared" si="49"/>
        <v/>
      </c>
      <c r="BX26" s="19" t="str">
        <f t="shared" si="49"/>
        <v/>
      </c>
      <c r="BY26" s="19" t="str">
        <f t="shared" si="49"/>
        <v/>
      </c>
      <c r="BZ26" s="19" t="str">
        <f t="shared" si="49"/>
        <v/>
      </c>
      <c r="CA26" s="19" t="str">
        <f t="shared" si="49"/>
        <v/>
      </c>
      <c r="CB26" s="19" t="str">
        <f t="shared" si="49"/>
        <v/>
      </c>
      <c r="CC26" s="19" t="str">
        <f t="shared" si="49"/>
        <v/>
      </c>
      <c r="CD26" s="19" t="str">
        <f t="shared" si="49"/>
        <v/>
      </c>
      <c r="CE26" s="19" t="str">
        <f t="shared" si="49"/>
        <v/>
      </c>
      <c r="CF26" s="19" t="str">
        <f t="shared" si="49"/>
        <v/>
      </c>
      <c r="CG26" s="19" t="str">
        <f t="shared" si="49"/>
        <v/>
      </c>
      <c r="CH26" s="19" t="str">
        <f t="shared" si="49"/>
        <v/>
      </c>
      <c r="CI26" s="19" t="str">
        <f t="shared" si="49"/>
        <v/>
      </c>
      <c r="CJ26" s="19" t="str">
        <f t="shared" si="49"/>
        <v/>
      </c>
      <c r="CK26" s="19" t="str">
        <f t="shared" si="49"/>
        <v/>
      </c>
      <c r="CL26" s="19" t="str">
        <f t="shared" si="49"/>
        <v/>
      </c>
      <c r="CM26" s="19" t="str">
        <f t="shared" si="49"/>
        <v/>
      </c>
      <c r="CN26" s="19" t="str">
        <f t="shared" si="49"/>
        <v/>
      </c>
      <c r="CO26" s="19" t="str">
        <f t="shared" si="49"/>
        <v/>
      </c>
      <c r="CP26" s="19" t="str">
        <f t="shared" si="49"/>
        <v/>
      </c>
      <c r="CQ26" s="19" t="str">
        <f t="shared" si="49"/>
        <v/>
      </c>
      <c r="CR26" s="19" t="str">
        <f t="shared" si="49"/>
        <v/>
      </c>
    </row>
    <row r="27">
      <c r="A27" s="2"/>
      <c r="B27" s="2" t="str">
        <f>Summary!D54</f>
        <v>GROUP - 500 - Quyen</v>
      </c>
      <c r="C27" s="15" t="s">
        <v>29</v>
      </c>
      <c r="D27" s="2" t="str">
        <f>iferror(vlookup(B27,StaffInformation!$F:$I,2,false),"")</f>
        <v/>
      </c>
      <c r="E27" s="2">
        <f>iferror(vlookup(B27,Summary!$D:$V,19,false),)</f>
        <v>0</v>
      </c>
      <c r="G27" s="25" t="str">
        <f t="shared" si="50"/>
        <v>completeHieu.6002</v>
      </c>
      <c r="H27" s="71" t="s">
        <v>28</v>
      </c>
      <c r="I27" s="29" t="str">
        <f t="shared" si="51"/>
        <v/>
      </c>
      <c r="J27" s="36" t="str">
        <f>vlookup(G27,StaffInformation!$C:$F,3,false)</f>
        <v/>
      </c>
      <c r="O27" s="36"/>
      <c r="P27" s="8"/>
      <c r="Q27" s="29">
        <v>25.0</v>
      </c>
      <c r="R27" s="30" t="s">
        <v>30</v>
      </c>
      <c r="S27" s="19"/>
      <c r="T27" s="20">
        <v>0.0</v>
      </c>
      <c r="U27" s="21" t="str">
        <f t="shared" ref="U27:AA27" si="52">if(and($T27&lt;0,$T27&lt;=U$2),$A$2, )</f>
        <v/>
      </c>
      <c r="V27" s="21" t="str">
        <f t="shared" si="52"/>
        <v/>
      </c>
      <c r="W27" s="21" t="str">
        <f t="shared" si="52"/>
        <v/>
      </c>
      <c r="X27" s="21" t="str">
        <f t="shared" si="52"/>
        <v/>
      </c>
      <c r="Y27" s="21" t="str">
        <f t="shared" si="52"/>
        <v/>
      </c>
      <c r="Z27" s="21" t="str">
        <f t="shared" si="52"/>
        <v/>
      </c>
      <c r="AA27" s="21" t="str">
        <f t="shared" si="52"/>
        <v/>
      </c>
      <c r="AB27" s="45" t="str">
        <f t="shared" si="4"/>
        <v>x</v>
      </c>
      <c r="AC27" s="19" t="str">
        <f t="shared" ref="AC27:CR27" si="53">if(and(10&gt;=$T27,$T27&gt;=AC$2),$A$4,if(and(10&lt;=$T27,$T27&gt;=AC$2),$A$5, ))</f>
        <v/>
      </c>
      <c r="AD27" s="19" t="str">
        <f t="shared" si="53"/>
        <v/>
      </c>
      <c r="AE27" s="19" t="str">
        <f t="shared" si="53"/>
        <v/>
      </c>
      <c r="AF27" s="19" t="str">
        <f t="shared" si="53"/>
        <v/>
      </c>
      <c r="AG27" s="19" t="str">
        <f t="shared" si="53"/>
        <v/>
      </c>
      <c r="AH27" s="19" t="str">
        <f t="shared" si="53"/>
        <v/>
      </c>
      <c r="AI27" s="19" t="str">
        <f t="shared" si="53"/>
        <v/>
      </c>
      <c r="AJ27" s="19" t="str">
        <f t="shared" si="53"/>
        <v/>
      </c>
      <c r="AK27" s="19" t="str">
        <f t="shared" si="53"/>
        <v/>
      </c>
      <c r="AL27" s="19" t="str">
        <f t="shared" si="53"/>
        <v/>
      </c>
      <c r="AM27" s="19" t="str">
        <f t="shared" si="53"/>
        <v/>
      </c>
      <c r="AN27" s="19" t="str">
        <f t="shared" si="53"/>
        <v/>
      </c>
      <c r="AO27" s="19" t="str">
        <f t="shared" si="53"/>
        <v/>
      </c>
      <c r="AP27" s="19" t="str">
        <f t="shared" si="53"/>
        <v/>
      </c>
      <c r="AQ27" s="19" t="str">
        <f t="shared" si="53"/>
        <v/>
      </c>
      <c r="AR27" s="19" t="str">
        <f t="shared" si="53"/>
        <v/>
      </c>
      <c r="AS27" s="19" t="str">
        <f t="shared" si="53"/>
        <v/>
      </c>
      <c r="AT27" s="19" t="str">
        <f t="shared" si="53"/>
        <v/>
      </c>
      <c r="AU27" s="19" t="str">
        <f t="shared" si="53"/>
        <v/>
      </c>
      <c r="AV27" s="19" t="str">
        <f t="shared" si="53"/>
        <v/>
      </c>
      <c r="AW27" s="19" t="str">
        <f t="shared" si="53"/>
        <v/>
      </c>
      <c r="AX27" s="19" t="str">
        <f t="shared" si="53"/>
        <v/>
      </c>
      <c r="AY27" s="19" t="str">
        <f t="shared" si="53"/>
        <v/>
      </c>
      <c r="AZ27" s="19" t="str">
        <f t="shared" si="53"/>
        <v/>
      </c>
      <c r="BA27" s="19" t="str">
        <f t="shared" si="53"/>
        <v/>
      </c>
      <c r="BB27" s="19" t="str">
        <f t="shared" si="53"/>
        <v/>
      </c>
      <c r="BC27" s="19" t="str">
        <f t="shared" si="53"/>
        <v/>
      </c>
      <c r="BD27" s="19" t="str">
        <f t="shared" si="53"/>
        <v/>
      </c>
      <c r="BE27" s="19" t="str">
        <f t="shared" si="53"/>
        <v/>
      </c>
      <c r="BF27" s="19" t="str">
        <f t="shared" si="53"/>
        <v/>
      </c>
      <c r="BG27" s="19" t="str">
        <f t="shared" si="53"/>
        <v/>
      </c>
      <c r="BH27" s="19" t="str">
        <f t="shared" si="53"/>
        <v/>
      </c>
      <c r="BI27" s="19" t="str">
        <f t="shared" si="53"/>
        <v/>
      </c>
      <c r="BJ27" s="19" t="str">
        <f t="shared" si="53"/>
        <v/>
      </c>
      <c r="BK27" s="19" t="str">
        <f t="shared" si="53"/>
        <v/>
      </c>
      <c r="BL27" s="19" t="str">
        <f t="shared" si="53"/>
        <v/>
      </c>
      <c r="BM27" s="19" t="str">
        <f t="shared" si="53"/>
        <v/>
      </c>
      <c r="BN27" s="19" t="str">
        <f t="shared" si="53"/>
        <v/>
      </c>
      <c r="BO27" s="19" t="str">
        <f t="shared" si="53"/>
        <v/>
      </c>
      <c r="BP27" s="19" t="str">
        <f t="shared" si="53"/>
        <v/>
      </c>
      <c r="BQ27" s="19" t="str">
        <f t="shared" si="53"/>
        <v/>
      </c>
      <c r="BR27" s="19" t="str">
        <f t="shared" si="53"/>
        <v/>
      </c>
      <c r="BS27" s="19" t="str">
        <f t="shared" si="53"/>
        <v/>
      </c>
      <c r="BT27" s="19" t="str">
        <f t="shared" si="53"/>
        <v/>
      </c>
      <c r="BU27" s="19" t="str">
        <f t="shared" si="53"/>
        <v/>
      </c>
      <c r="BV27" s="19" t="str">
        <f t="shared" si="53"/>
        <v/>
      </c>
      <c r="BW27" s="19" t="str">
        <f t="shared" si="53"/>
        <v/>
      </c>
      <c r="BX27" s="19" t="str">
        <f t="shared" si="53"/>
        <v/>
      </c>
      <c r="BY27" s="19" t="str">
        <f t="shared" si="53"/>
        <v/>
      </c>
      <c r="BZ27" s="19" t="str">
        <f t="shared" si="53"/>
        <v/>
      </c>
      <c r="CA27" s="19" t="str">
        <f t="shared" si="53"/>
        <v/>
      </c>
      <c r="CB27" s="19" t="str">
        <f t="shared" si="53"/>
        <v/>
      </c>
      <c r="CC27" s="19" t="str">
        <f t="shared" si="53"/>
        <v/>
      </c>
      <c r="CD27" s="19" t="str">
        <f t="shared" si="53"/>
        <v/>
      </c>
      <c r="CE27" s="19" t="str">
        <f t="shared" si="53"/>
        <v/>
      </c>
      <c r="CF27" s="19" t="str">
        <f t="shared" si="53"/>
        <v/>
      </c>
      <c r="CG27" s="19" t="str">
        <f t="shared" si="53"/>
        <v/>
      </c>
      <c r="CH27" s="19" t="str">
        <f t="shared" si="53"/>
        <v/>
      </c>
      <c r="CI27" s="19" t="str">
        <f t="shared" si="53"/>
        <v/>
      </c>
      <c r="CJ27" s="19" t="str">
        <f t="shared" si="53"/>
        <v/>
      </c>
      <c r="CK27" s="19" t="str">
        <f t="shared" si="53"/>
        <v/>
      </c>
      <c r="CL27" s="19" t="str">
        <f t="shared" si="53"/>
        <v/>
      </c>
      <c r="CM27" s="19" t="str">
        <f t="shared" si="53"/>
        <v/>
      </c>
      <c r="CN27" s="19" t="str">
        <f t="shared" si="53"/>
        <v/>
      </c>
      <c r="CO27" s="19" t="str">
        <f t="shared" si="53"/>
        <v/>
      </c>
      <c r="CP27" s="19" t="str">
        <f t="shared" si="53"/>
        <v/>
      </c>
      <c r="CQ27" s="19" t="str">
        <f t="shared" si="53"/>
        <v/>
      </c>
      <c r="CR27" s="19" t="str">
        <f t="shared" si="53"/>
        <v/>
      </c>
    </row>
    <row r="28">
      <c r="A28" s="2"/>
      <c r="B28" s="2" t="str">
        <f>Summary!D55</f>
        <v>GROUP - 000-100 - Hieu</v>
      </c>
      <c r="C28" s="15" t="s">
        <v>30</v>
      </c>
      <c r="D28" s="2" t="str">
        <f>iferror(vlookup(B28,StaffInformation!$F:$I,2,false),"")</f>
        <v/>
      </c>
      <c r="E28" s="2">
        <f>iferror(vlookup(B28,Summary!$D:$V,19,false),)</f>
        <v>0</v>
      </c>
      <c r="G28" s="25" t="str">
        <f t="shared" si="50"/>
        <v>completeHieu.6003</v>
      </c>
      <c r="H28" s="71" t="s">
        <v>28</v>
      </c>
      <c r="I28" s="28" t="str">
        <f t="shared" si="51"/>
        <v/>
      </c>
      <c r="J28" s="36" t="str">
        <f>vlookup(G28,StaffInformation!$C:$F,3,false)</f>
        <v/>
      </c>
      <c r="O28" s="36"/>
      <c r="P28" s="8"/>
      <c r="Q28" s="29"/>
      <c r="R28" s="72"/>
      <c r="S28" s="19" t="s">
        <v>8</v>
      </c>
      <c r="T28" s="20"/>
      <c r="U28" s="21" t="str">
        <f t="shared" ref="U28:AA28" si="54">if(and($T28&lt;0,$T28&lt;=U$2),$A$2, )</f>
        <v/>
      </c>
      <c r="V28" s="21" t="str">
        <f t="shared" si="54"/>
        <v/>
      </c>
      <c r="W28" s="21" t="str">
        <f t="shared" si="54"/>
        <v/>
      </c>
      <c r="X28" s="21" t="str">
        <f t="shared" si="54"/>
        <v/>
      </c>
      <c r="Y28" s="21" t="str">
        <f t="shared" si="54"/>
        <v/>
      </c>
      <c r="Z28" s="21" t="str">
        <f t="shared" si="54"/>
        <v/>
      </c>
      <c r="AA28" s="21" t="str">
        <f t="shared" si="54"/>
        <v/>
      </c>
      <c r="AB28" s="45"/>
      <c r="AC28" s="19"/>
      <c r="AD28" s="2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</row>
    <row r="29" ht="8.25" customHeight="1">
      <c r="A29" s="2"/>
      <c r="B29" s="2"/>
      <c r="C29" s="1"/>
      <c r="D29" s="2"/>
      <c r="E29" s="2"/>
      <c r="G29" s="25" t="str">
        <f t="shared" si="50"/>
        <v>completeHieu.6004</v>
      </c>
      <c r="H29" s="71" t="s">
        <v>28</v>
      </c>
      <c r="I29" s="28" t="str">
        <f t="shared" si="51"/>
        <v/>
      </c>
      <c r="J29" s="36" t="str">
        <f>vlookup(G29,StaffInformation!$C:$F,3,false)</f>
        <v/>
      </c>
      <c r="O29" s="36"/>
      <c r="P29" s="8"/>
      <c r="Q29" s="73"/>
      <c r="R29" s="74"/>
      <c r="S29" s="75"/>
      <c r="T29" s="31"/>
      <c r="U29" s="76" t="str">
        <f t="shared" ref="U29:AA29" si="55">if(and($T29&lt;0,$T29&lt;=U$2),$A$2, )</f>
        <v/>
      </c>
      <c r="V29" s="77" t="str">
        <f t="shared" si="55"/>
        <v/>
      </c>
      <c r="W29" s="77" t="str">
        <f t="shared" si="55"/>
        <v/>
      </c>
      <c r="X29" s="76" t="str">
        <f t="shared" si="55"/>
        <v/>
      </c>
      <c r="Y29" s="76" t="str">
        <f t="shared" si="55"/>
        <v/>
      </c>
      <c r="Z29" s="76" t="str">
        <f t="shared" si="55"/>
        <v/>
      </c>
      <c r="AA29" s="76" t="str">
        <f t="shared" si="55"/>
        <v/>
      </c>
      <c r="AB29" s="78"/>
      <c r="AC29" s="79" t="str">
        <f t="shared" ref="AC29:CR29" si="56">if(and(10&gt;=$T29,$T29&gt;=AC$2),$A$4,if(and(10&lt;=$T29,$T29&gt;=AC$2),$A$5, ))</f>
        <v/>
      </c>
      <c r="AD29" s="79" t="str">
        <f t="shared" si="56"/>
        <v/>
      </c>
      <c r="AE29" s="79" t="str">
        <f t="shared" si="56"/>
        <v/>
      </c>
      <c r="AF29" s="80" t="str">
        <f t="shared" si="56"/>
        <v/>
      </c>
      <c r="AG29" s="80" t="str">
        <f t="shared" si="56"/>
        <v/>
      </c>
      <c r="AH29" s="80" t="str">
        <f t="shared" si="56"/>
        <v/>
      </c>
      <c r="AI29" s="79" t="str">
        <f t="shared" si="56"/>
        <v/>
      </c>
      <c r="AJ29" s="79" t="str">
        <f t="shared" si="56"/>
        <v/>
      </c>
      <c r="AK29" s="79" t="str">
        <f t="shared" si="56"/>
        <v/>
      </c>
      <c r="AL29" s="79" t="str">
        <f t="shared" si="56"/>
        <v/>
      </c>
      <c r="AM29" s="76" t="str">
        <f t="shared" si="56"/>
        <v/>
      </c>
      <c r="AN29" s="76" t="str">
        <f t="shared" si="56"/>
        <v/>
      </c>
      <c r="AO29" s="76" t="str">
        <f t="shared" si="56"/>
        <v/>
      </c>
      <c r="AP29" s="76" t="str">
        <f t="shared" si="56"/>
        <v/>
      </c>
      <c r="AQ29" s="77" t="str">
        <f t="shared" si="56"/>
        <v/>
      </c>
      <c r="AR29" s="77" t="str">
        <f t="shared" si="56"/>
        <v/>
      </c>
      <c r="AS29" s="77" t="str">
        <f t="shared" si="56"/>
        <v/>
      </c>
      <c r="AT29" s="77" t="str">
        <f t="shared" si="56"/>
        <v/>
      </c>
      <c r="AU29" s="81" t="str">
        <f t="shared" si="56"/>
        <v/>
      </c>
      <c r="AV29" s="81" t="str">
        <f t="shared" si="56"/>
        <v/>
      </c>
      <c r="AW29" s="81" t="str">
        <f t="shared" si="56"/>
        <v/>
      </c>
      <c r="AX29" s="81" t="str">
        <f t="shared" si="56"/>
        <v/>
      </c>
      <c r="AY29" s="81" t="str">
        <f t="shared" si="56"/>
        <v/>
      </c>
      <c r="AZ29" s="82" t="str">
        <f t="shared" si="56"/>
        <v/>
      </c>
      <c r="BA29" s="82" t="str">
        <f t="shared" si="56"/>
        <v/>
      </c>
      <c r="BB29" s="82" t="str">
        <f t="shared" si="56"/>
        <v/>
      </c>
      <c r="BC29" s="82" t="str">
        <f t="shared" si="56"/>
        <v/>
      </c>
      <c r="BD29" s="81" t="str">
        <f t="shared" si="56"/>
        <v/>
      </c>
      <c r="BE29" s="81" t="str">
        <f t="shared" si="56"/>
        <v/>
      </c>
      <c r="BF29" s="81" t="str">
        <f t="shared" si="56"/>
        <v/>
      </c>
      <c r="BG29" s="81" t="str">
        <f t="shared" si="56"/>
        <v/>
      </c>
      <c r="BH29" s="81" t="str">
        <f t="shared" si="56"/>
        <v/>
      </c>
      <c r="BI29" s="77" t="str">
        <f t="shared" si="56"/>
        <v/>
      </c>
      <c r="BJ29" s="77" t="str">
        <f t="shared" si="56"/>
        <v/>
      </c>
      <c r="BK29" s="77" t="str">
        <f t="shared" si="56"/>
        <v/>
      </c>
      <c r="BL29" s="77" t="str">
        <f t="shared" si="56"/>
        <v/>
      </c>
      <c r="BM29" s="77" t="str">
        <f t="shared" si="56"/>
        <v/>
      </c>
      <c r="BN29" s="76" t="str">
        <f t="shared" si="56"/>
        <v/>
      </c>
      <c r="BO29" s="76" t="str">
        <f t="shared" si="56"/>
        <v/>
      </c>
      <c r="BP29" s="76" t="str">
        <f t="shared" si="56"/>
        <v/>
      </c>
      <c r="BQ29" s="76" t="str">
        <f t="shared" si="56"/>
        <v/>
      </c>
      <c r="BR29" s="76" t="str">
        <f t="shared" si="56"/>
        <v/>
      </c>
      <c r="BS29" s="79" t="str">
        <f t="shared" si="56"/>
        <v/>
      </c>
      <c r="BT29" s="79" t="str">
        <f t="shared" si="56"/>
        <v/>
      </c>
      <c r="BU29" s="79" t="str">
        <f t="shared" si="56"/>
        <v/>
      </c>
      <c r="BV29" s="79" t="str">
        <f t="shared" si="56"/>
        <v/>
      </c>
      <c r="BW29" s="79" t="str">
        <f t="shared" si="56"/>
        <v/>
      </c>
      <c r="BX29" s="80" t="str">
        <f t="shared" si="56"/>
        <v/>
      </c>
      <c r="BY29" s="80" t="str">
        <f t="shared" si="56"/>
        <v/>
      </c>
      <c r="BZ29" s="80" t="str">
        <f t="shared" si="56"/>
        <v/>
      </c>
      <c r="CA29" s="80" t="str">
        <f t="shared" si="56"/>
        <v/>
      </c>
      <c r="CB29" s="82" t="str">
        <f t="shared" si="56"/>
        <v/>
      </c>
      <c r="CC29" s="82" t="str">
        <f t="shared" si="56"/>
        <v/>
      </c>
      <c r="CD29" s="82" t="str">
        <f t="shared" si="56"/>
        <v/>
      </c>
      <c r="CE29" s="82" t="str">
        <f t="shared" si="56"/>
        <v/>
      </c>
      <c r="CF29" s="82" t="str">
        <f t="shared" si="56"/>
        <v/>
      </c>
      <c r="CG29" s="82" t="str">
        <f t="shared" si="56"/>
        <v/>
      </c>
      <c r="CH29" s="82" t="str">
        <f t="shared" si="56"/>
        <v/>
      </c>
      <c r="CI29" s="82" t="str">
        <f t="shared" si="56"/>
        <v/>
      </c>
      <c r="CJ29" s="82" t="str">
        <f t="shared" si="56"/>
        <v/>
      </c>
      <c r="CK29" s="82" t="str">
        <f t="shared" si="56"/>
        <v/>
      </c>
      <c r="CL29" s="82" t="str">
        <f t="shared" si="56"/>
        <v/>
      </c>
      <c r="CM29" s="82" t="str">
        <f t="shared" si="56"/>
        <v/>
      </c>
      <c r="CN29" s="82" t="str">
        <f t="shared" si="56"/>
        <v/>
      </c>
      <c r="CO29" s="82" t="str">
        <f t="shared" si="56"/>
        <v/>
      </c>
      <c r="CP29" s="82" t="str">
        <f t="shared" si="56"/>
        <v/>
      </c>
      <c r="CQ29" s="82" t="str">
        <f t="shared" si="56"/>
        <v/>
      </c>
      <c r="CR29" s="82" t="str">
        <f t="shared" si="56"/>
        <v/>
      </c>
    </row>
    <row r="30" ht="12.0" hidden="1" customHeight="1">
      <c r="A30" s="2"/>
      <c r="B30" s="83"/>
      <c r="C30" s="83"/>
      <c r="D30" s="83"/>
      <c r="E30" s="83"/>
      <c r="F30" s="1">
        <v>6.0</v>
      </c>
      <c r="G30" s="2" t="str">
        <f t="shared" ref="G30:G41" si="57">"complete"&amp;#REF!&amp;F30</f>
        <v>#REF!</v>
      </c>
      <c r="H30" s="2"/>
      <c r="I30" s="1" t="str">
        <f t="shared" ref="I30:I41" si="58">if(#REF!=$G$2,,"🏅")</f>
        <v>#REF!</v>
      </c>
      <c r="J30" s="2"/>
      <c r="P30" s="2"/>
      <c r="Q30" s="14"/>
      <c r="R30" s="84"/>
      <c r="S30" s="84"/>
      <c r="T30" s="2"/>
      <c r="U30" s="82"/>
      <c r="V30" s="82"/>
      <c r="W30" s="82"/>
      <c r="X30" s="82"/>
      <c r="Y30" s="82"/>
      <c r="Z30" s="82"/>
      <c r="AA30" s="82"/>
      <c r="AB30" s="78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  <c r="BN30" s="82"/>
      <c r="BO30" s="82"/>
      <c r="BP30" s="82"/>
      <c r="BQ30" s="82"/>
      <c r="BR30" s="82"/>
      <c r="BS30" s="82"/>
      <c r="BT30" s="82"/>
      <c r="BU30" s="82"/>
      <c r="BV30" s="82"/>
      <c r="BW30" s="82"/>
      <c r="BX30" s="82"/>
      <c r="BY30" s="82"/>
      <c r="BZ30" s="82"/>
      <c r="CA30" s="82"/>
      <c r="CB30" s="82"/>
      <c r="CC30" s="82"/>
      <c r="CD30" s="82"/>
      <c r="CE30" s="82"/>
      <c r="CF30" s="82"/>
      <c r="CG30" s="82"/>
      <c r="CH30" s="82"/>
      <c r="CI30" s="82"/>
      <c r="CJ30" s="82"/>
      <c r="CK30" s="82"/>
      <c r="CL30" s="82"/>
      <c r="CM30" s="82"/>
      <c r="CN30" s="82"/>
      <c r="CO30" s="82"/>
      <c r="CP30" s="82"/>
      <c r="CQ30" s="82"/>
      <c r="CR30" s="82"/>
    </row>
    <row r="31" ht="12.0" hidden="1" customHeight="1">
      <c r="A31" s="2"/>
      <c r="B31" s="83"/>
      <c r="C31" s="83"/>
      <c r="D31" s="83"/>
      <c r="E31" s="83"/>
      <c r="F31" s="1">
        <v>7.0</v>
      </c>
      <c r="G31" s="2" t="str">
        <f t="shared" si="57"/>
        <v>#REF!</v>
      </c>
      <c r="H31" s="2"/>
      <c r="I31" s="1" t="str">
        <f t="shared" si="58"/>
        <v>#REF!</v>
      </c>
      <c r="J31" s="2"/>
      <c r="P31" s="2"/>
      <c r="Q31" s="14"/>
      <c r="R31" s="84"/>
      <c r="S31" s="84"/>
      <c r="T31" s="2"/>
      <c r="U31" s="82"/>
      <c r="V31" s="82"/>
      <c r="W31" s="82"/>
      <c r="X31" s="82"/>
      <c r="Y31" s="82"/>
      <c r="Z31" s="82"/>
      <c r="AA31" s="82"/>
      <c r="AB31" s="78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  <c r="BN31" s="82"/>
      <c r="BO31" s="82"/>
      <c r="BP31" s="82"/>
      <c r="BQ31" s="82"/>
      <c r="BR31" s="82"/>
      <c r="BS31" s="82"/>
      <c r="BT31" s="82"/>
      <c r="BU31" s="82"/>
      <c r="BV31" s="82"/>
      <c r="BW31" s="82"/>
      <c r="BX31" s="82"/>
      <c r="BY31" s="82"/>
      <c r="BZ31" s="82"/>
      <c r="CA31" s="82"/>
      <c r="CB31" s="82"/>
      <c r="CC31" s="82"/>
      <c r="CD31" s="82"/>
      <c r="CE31" s="82"/>
      <c r="CF31" s="82"/>
      <c r="CG31" s="82"/>
      <c r="CH31" s="82"/>
      <c r="CI31" s="82"/>
      <c r="CJ31" s="82"/>
      <c r="CK31" s="82"/>
      <c r="CL31" s="82"/>
      <c r="CM31" s="82"/>
      <c r="CN31" s="82"/>
      <c r="CO31" s="82"/>
      <c r="CP31" s="82"/>
      <c r="CQ31" s="82"/>
      <c r="CR31" s="82"/>
    </row>
    <row r="32" ht="12.0" hidden="1" customHeight="1">
      <c r="A32" s="2"/>
      <c r="B32" s="83"/>
      <c r="C32" s="83"/>
      <c r="D32" s="83"/>
      <c r="E32" s="83"/>
      <c r="F32" s="1">
        <v>8.0</v>
      </c>
      <c r="G32" s="2" t="str">
        <f t="shared" si="57"/>
        <v>#REF!</v>
      </c>
      <c r="H32" s="2"/>
      <c r="I32" s="1" t="str">
        <f t="shared" si="58"/>
        <v>#REF!</v>
      </c>
      <c r="J32" s="2"/>
      <c r="P32" s="2"/>
      <c r="Q32" s="14"/>
      <c r="R32" s="84"/>
      <c r="S32" s="84"/>
      <c r="T32" s="2"/>
      <c r="U32" s="82"/>
      <c r="V32" s="82"/>
      <c r="W32" s="82"/>
      <c r="X32" s="82"/>
      <c r="Y32" s="82"/>
      <c r="Z32" s="82"/>
      <c r="AA32" s="82"/>
      <c r="AB32" s="78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  <c r="BN32" s="82"/>
      <c r="BO32" s="82"/>
      <c r="BP32" s="82"/>
      <c r="BQ32" s="82"/>
      <c r="BR32" s="82"/>
      <c r="BS32" s="82"/>
      <c r="BT32" s="82"/>
      <c r="BU32" s="82"/>
      <c r="BV32" s="82"/>
      <c r="BW32" s="82"/>
      <c r="BX32" s="82"/>
      <c r="BY32" s="82"/>
      <c r="BZ32" s="82"/>
      <c r="CA32" s="82"/>
      <c r="CB32" s="82"/>
      <c r="CC32" s="82"/>
      <c r="CD32" s="82"/>
      <c r="CE32" s="82"/>
      <c r="CF32" s="82"/>
      <c r="CG32" s="82"/>
      <c r="CH32" s="82"/>
      <c r="CI32" s="82"/>
      <c r="CJ32" s="82"/>
      <c r="CK32" s="82"/>
      <c r="CL32" s="82"/>
      <c r="CM32" s="82"/>
      <c r="CN32" s="82"/>
      <c r="CO32" s="82"/>
      <c r="CP32" s="82"/>
      <c r="CQ32" s="82"/>
      <c r="CR32" s="82"/>
    </row>
    <row r="33" ht="12.0" hidden="1" customHeight="1">
      <c r="A33" s="2"/>
      <c r="B33" s="83"/>
      <c r="C33" s="83"/>
      <c r="D33" s="83"/>
      <c r="E33" s="83"/>
      <c r="F33" s="1">
        <v>9.0</v>
      </c>
      <c r="G33" s="2" t="str">
        <f t="shared" si="57"/>
        <v>#REF!</v>
      </c>
      <c r="H33" s="2"/>
      <c r="I33" s="1" t="str">
        <f t="shared" si="58"/>
        <v>#REF!</v>
      </c>
      <c r="J33" s="2"/>
      <c r="P33" s="2"/>
      <c r="Q33" s="14"/>
      <c r="R33" s="84"/>
      <c r="S33" s="84"/>
      <c r="T33" s="2"/>
      <c r="U33" s="82"/>
      <c r="V33" s="82"/>
      <c r="W33" s="82"/>
      <c r="X33" s="82"/>
      <c r="Y33" s="82"/>
      <c r="Z33" s="82"/>
      <c r="AA33" s="82"/>
      <c r="AB33" s="78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  <c r="BS33" s="82"/>
      <c r="BT33" s="82"/>
      <c r="BU33" s="82"/>
      <c r="BV33" s="82"/>
      <c r="BW33" s="82"/>
      <c r="BX33" s="82"/>
      <c r="BY33" s="82"/>
      <c r="BZ33" s="82"/>
      <c r="CA33" s="82"/>
      <c r="CB33" s="82"/>
      <c r="CC33" s="82"/>
      <c r="CD33" s="82"/>
      <c r="CE33" s="82"/>
      <c r="CF33" s="82"/>
      <c r="CG33" s="82"/>
      <c r="CH33" s="82"/>
      <c r="CI33" s="82"/>
      <c r="CJ33" s="82"/>
      <c r="CK33" s="82"/>
      <c r="CL33" s="82"/>
      <c r="CM33" s="82"/>
      <c r="CN33" s="82"/>
      <c r="CO33" s="82"/>
      <c r="CP33" s="82"/>
      <c r="CQ33" s="82"/>
      <c r="CR33" s="82"/>
    </row>
    <row r="34" ht="12.0" hidden="1" customHeight="1">
      <c r="A34" s="2"/>
      <c r="B34" s="83"/>
      <c r="C34" s="83"/>
      <c r="D34" s="83"/>
      <c r="E34" s="83"/>
      <c r="F34" s="1">
        <v>10.0</v>
      </c>
      <c r="G34" s="2" t="str">
        <f t="shared" si="57"/>
        <v>#REF!</v>
      </c>
      <c r="H34" s="2"/>
      <c r="I34" s="1" t="str">
        <f t="shared" si="58"/>
        <v>#REF!</v>
      </c>
      <c r="J34" s="2"/>
      <c r="P34" s="2"/>
      <c r="Q34" s="14"/>
      <c r="R34" s="84"/>
      <c r="S34" s="84"/>
      <c r="T34" s="2"/>
      <c r="U34" s="82"/>
      <c r="V34" s="82"/>
      <c r="W34" s="82"/>
      <c r="X34" s="82"/>
      <c r="Y34" s="82"/>
      <c r="Z34" s="82"/>
      <c r="AA34" s="82"/>
      <c r="AB34" s="78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  <c r="BS34" s="82"/>
      <c r="BT34" s="82"/>
      <c r="BU34" s="82"/>
      <c r="BV34" s="82"/>
      <c r="BW34" s="82"/>
      <c r="BX34" s="82"/>
      <c r="BY34" s="82"/>
      <c r="BZ34" s="82"/>
      <c r="CA34" s="82"/>
      <c r="CB34" s="82"/>
      <c r="CC34" s="82"/>
      <c r="CD34" s="82"/>
      <c r="CE34" s="82"/>
      <c r="CF34" s="82"/>
      <c r="CG34" s="82"/>
      <c r="CH34" s="82"/>
      <c r="CI34" s="82"/>
      <c r="CJ34" s="82"/>
      <c r="CK34" s="82"/>
      <c r="CL34" s="82"/>
      <c r="CM34" s="82"/>
      <c r="CN34" s="82"/>
      <c r="CO34" s="82"/>
      <c r="CP34" s="82"/>
      <c r="CQ34" s="82"/>
      <c r="CR34" s="82"/>
    </row>
    <row r="35" ht="12.0" hidden="1" customHeight="1">
      <c r="A35" s="2"/>
      <c r="B35" s="83"/>
      <c r="C35" s="83"/>
      <c r="D35" s="83"/>
      <c r="E35" s="83"/>
      <c r="F35" s="1">
        <v>11.0</v>
      </c>
      <c r="G35" s="2" t="str">
        <f t="shared" si="57"/>
        <v>#REF!</v>
      </c>
      <c r="H35" s="2"/>
      <c r="I35" s="1" t="str">
        <f t="shared" si="58"/>
        <v>#REF!</v>
      </c>
      <c r="J35" s="2"/>
      <c r="P35" s="2"/>
      <c r="Q35" s="14"/>
      <c r="R35" s="84"/>
      <c r="S35" s="84"/>
      <c r="T35" s="2"/>
      <c r="U35" s="82"/>
      <c r="V35" s="82"/>
      <c r="W35" s="82"/>
      <c r="X35" s="82"/>
      <c r="Y35" s="82"/>
      <c r="Z35" s="82"/>
      <c r="AA35" s="82"/>
      <c r="AB35" s="78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  <c r="BS35" s="82"/>
      <c r="BT35" s="82"/>
      <c r="BU35" s="82"/>
      <c r="BV35" s="82"/>
      <c r="BW35" s="82"/>
      <c r="BX35" s="82"/>
      <c r="BY35" s="82"/>
      <c r="BZ35" s="82"/>
      <c r="CA35" s="82"/>
      <c r="CB35" s="82"/>
      <c r="CC35" s="82"/>
      <c r="CD35" s="82"/>
      <c r="CE35" s="82"/>
      <c r="CF35" s="82"/>
      <c r="CG35" s="82"/>
      <c r="CH35" s="82"/>
      <c r="CI35" s="82"/>
      <c r="CJ35" s="82"/>
      <c r="CK35" s="82"/>
      <c r="CL35" s="82"/>
      <c r="CM35" s="82"/>
      <c r="CN35" s="82"/>
      <c r="CO35" s="82"/>
      <c r="CP35" s="82"/>
      <c r="CQ35" s="82"/>
      <c r="CR35" s="82"/>
    </row>
    <row r="36" ht="12.0" hidden="1" customHeight="1">
      <c r="A36" s="2"/>
      <c r="B36" s="83"/>
      <c r="C36" s="83"/>
      <c r="D36" s="83"/>
      <c r="E36" s="83"/>
      <c r="F36" s="1">
        <v>12.0</v>
      </c>
      <c r="G36" s="2" t="str">
        <f t="shared" si="57"/>
        <v>#REF!</v>
      </c>
      <c r="H36" s="2"/>
      <c r="I36" s="1" t="str">
        <f t="shared" si="58"/>
        <v>#REF!</v>
      </c>
      <c r="J36" s="2"/>
      <c r="P36" s="2"/>
      <c r="Q36" s="14"/>
      <c r="R36" s="84"/>
      <c r="S36" s="84"/>
      <c r="T36" s="2"/>
      <c r="U36" s="82"/>
      <c r="V36" s="82"/>
      <c r="W36" s="82"/>
      <c r="X36" s="82"/>
      <c r="Y36" s="82"/>
      <c r="Z36" s="82"/>
      <c r="AA36" s="82"/>
      <c r="AB36" s="78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  <c r="BS36" s="82"/>
      <c r="BT36" s="82"/>
      <c r="BU36" s="82"/>
      <c r="BV36" s="82"/>
      <c r="BW36" s="82"/>
      <c r="BX36" s="82"/>
      <c r="BY36" s="82"/>
      <c r="BZ36" s="82"/>
      <c r="CA36" s="82"/>
      <c r="CB36" s="82"/>
      <c r="CC36" s="82"/>
      <c r="CD36" s="82"/>
      <c r="CE36" s="82"/>
      <c r="CF36" s="82"/>
      <c r="CG36" s="82"/>
      <c r="CH36" s="82"/>
      <c r="CI36" s="82"/>
      <c r="CJ36" s="82"/>
      <c r="CK36" s="82"/>
      <c r="CL36" s="82"/>
      <c r="CM36" s="82"/>
      <c r="CN36" s="82"/>
      <c r="CO36" s="82"/>
      <c r="CP36" s="82"/>
      <c r="CQ36" s="82"/>
      <c r="CR36" s="82"/>
    </row>
    <row r="37" ht="12.0" hidden="1" customHeight="1">
      <c r="A37" s="2"/>
      <c r="B37" s="83"/>
      <c r="C37" s="83"/>
      <c r="D37" s="83"/>
      <c r="E37" s="83"/>
      <c r="F37" s="1">
        <v>13.0</v>
      </c>
      <c r="G37" s="2" t="str">
        <f t="shared" si="57"/>
        <v>#REF!</v>
      </c>
      <c r="H37" s="2"/>
      <c r="I37" s="1" t="str">
        <f t="shared" si="58"/>
        <v>#REF!</v>
      </c>
      <c r="J37" s="2"/>
      <c r="P37" s="2"/>
      <c r="Q37" s="14"/>
      <c r="R37" s="84"/>
      <c r="S37" s="84"/>
      <c r="T37" s="2"/>
      <c r="U37" s="82"/>
      <c r="V37" s="82"/>
      <c r="W37" s="82"/>
      <c r="X37" s="82"/>
      <c r="Y37" s="82"/>
      <c r="Z37" s="82"/>
      <c r="AA37" s="82"/>
      <c r="AB37" s="78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  <c r="BN37" s="82"/>
      <c r="BO37" s="82"/>
      <c r="BP37" s="82"/>
      <c r="BQ37" s="82"/>
      <c r="BR37" s="82"/>
      <c r="BS37" s="82"/>
      <c r="BT37" s="82"/>
      <c r="BU37" s="82"/>
      <c r="BV37" s="82"/>
      <c r="BW37" s="82"/>
      <c r="BX37" s="82"/>
      <c r="BY37" s="82"/>
      <c r="BZ37" s="82"/>
      <c r="CA37" s="82"/>
      <c r="CB37" s="82"/>
      <c r="CC37" s="82"/>
      <c r="CD37" s="82"/>
      <c r="CE37" s="82"/>
      <c r="CF37" s="82"/>
      <c r="CG37" s="82"/>
      <c r="CH37" s="82"/>
      <c r="CI37" s="82"/>
      <c r="CJ37" s="82"/>
      <c r="CK37" s="82"/>
      <c r="CL37" s="82"/>
      <c r="CM37" s="82"/>
      <c r="CN37" s="82"/>
      <c r="CO37" s="82"/>
      <c r="CP37" s="82"/>
      <c r="CQ37" s="82"/>
      <c r="CR37" s="82"/>
    </row>
    <row r="38" ht="12.0" hidden="1" customHeight="1">
      <c r="A38" s="2"/>
      <c r="B38" s="83"/>
      <c r="C38" s="83"/>
      <c r="D38" s="83"/>
      <c r="E38" s="83"/>
      <c r="F38" s="1">
        <v>14.0</v>
      </c>
      <c r="G38" s="2" t="str">
        <f t="shared" si="57"/>
        <v>#REF!</v>
      </c>
      <c r="H38" s="2"/>
      <c r="I38" s="1" t="str">
        <f t="shared" si="58"/>
        <v>#REF!</v>
      </c>
      <c r="J38" s="2"/>
      <c r="P38" s="2"/>
      <c r="Q38" s="14"/>
      <c r="R38" s="84"/>
      <c r="S38" s="84"/>
      <c r="T38" s="2"/>
      <c r="U38" s="82"/>
      <c r="V38" s="82"/>
      <c r="W38" s="82"/>
      <c r="X38" s="82"/>
      <c r="Y38" s="82"/>
      <c r="Z38" s="82"/>
      <c r="AA38" s="82"/>
      <c r="AB38" s="78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  <c r="CA38" s="82"/>
      <c r="CB38" s="82"/>
      <c r="CC38" s="82"/>
      <c r="CD38" s="82"/>
      <c r="CE38" s="82"/>
      <c r="CF38" s="82"/>
      <c r="CG38" s="82"/>
      <c r="CH38" s="82"/>
      <c r="CI38" s="82"/>
      <c r="CJ38" s="82"/>
      <c r="CK38" s="82"/>
      <c r="CL38" s="82"/>
      <c r="CM38" s="82"/>
      <c r="CN38" s="82"/>
      <c r="CO38" s="82"/>
      <c r="CP38" s="82"/>
      <c r="CQ38" s="82"/>
      <c r="CR38" s="82"/>
    </row>
    <row r="39" ht="12.0" hidden="1" customHeight="1">
      <c r="A39" s="2"/>
      <c r="B39" s="83"/>
      <c r="C39" s="83"/>
      <c r="D39" s="83"/>
      <c r="E39" s="83"/>
      <c r="F39" s="1">
        <v>15.0</v>
      </c>
      <c r="G39" s="2" t="str">
        <f t="shared" si="57"/>
        <v>#REF!</v>
      </c>
      <c r="H39" s="2"/>
      <c r="I39" s="1" t="str">
        <f t="shared" si="58"/>
        <v>#REF!</v>
      </c>
      <c r="J39" s="2"/>
      <c r="P39" s="2"/>
      <c r="Q39" s="14"/>
      <c r="R39" s="84"/>
      <c r="S39" s="84"/>
      <c r="T39" s="2"/>
      <c r="U39" s="82"/>
      <c r="V39" s="82"/>
      <c r="W39" s="82"/>
      <c r="X39" s="82"/>
      <c r="Y39" s="82"/>
      <c r="Z39" s="82"/>
      <c r="AA39" s="82"/>
      <c r="AB39" s="78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  <c r="BN39" s="82"/>
      <c r="BO39" s="82"/>
      <c r="BP39" s="82"/>
      <c r="BQ39" s="82"/>
      <c r="BR39" s="82"/>
      <c r="BS39" s="82"/>
      <c r="BT39" s="82"/>
      <c r="BU39" s="82"/>
      <c r="BV39" s="82"/>
      <c r="BW39" s="82"/>
      <c r="BX39" s="82"/>
      <c r="BY39" s="82"/>
      <c r="BZ39" s="82"/>
      <c r="CA39" s="82"/>
      <c r="CB39" s="82"/>
      <c r="CC39" s="82"/>
      <c r="CD39" s="82"/>
      <c r="CE39" s="82"/>
      <c r="CF39" s="82"/>
      <c r="CG39" s="82"/>
      <c r="CH39" s="82"/>
      <c r="CI39" s="82"/>
      <c r="CJ39" s="82"/>
      <c r="CK39" s="82"/>
      <c r="CL39" s="82"/>
      <c r="CM39" s="82"/>
      <c r="CN39" s="82"/>
      <c r="CO39" s="82"/>
      <c r="CP39" s="82"/>
      <c r="CQ39" s="82"/>
      <c r="CR39" s="82"/>
    </row>
    <row r="40" ht="12.0" hidden="1" customHeight="1">
      <c r="A40" s="2"/>
      <c r="B40" s="83"/>
      <c r="C40" s="83"/>
      <c r="D40" s="83"/>
      <c r="E40" s="83"/>
      <c r="F40" s="1">
        <v>16.0</v>
      </c>
      <c r="G40" s="2" t="str">
        <f t="shared" si="57"/>
        <v>#REF!</v>
      </c>
      <c r="H40" s="2"/>
      <c r="I40" s="1" t="str">
        <f t="shared" si="58"/>
        <v>#REF!</v>
      </c>
      <c r="J40" s="2"/>
      <c r="P40" s="2"/>
      <c r="Q40" s="14"/>
      <c r="R40" s="84"/>
      <c r="S40" s="84"/>
      <c r="T40" s="2"/>
      <c r="U40" s="82"/>
      <c r="V40" s="82"/>
      <c r="W40" s="82"/>
      <c r="X40" s="82"/>
      <c r="Y40" s="82"/>
      <c r="Z40" s="82"/>
      <c r="AA40" s="82"/>
      <c r="AB40" s="78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82"/>
      <c r="BV40" s="82"/>
      <c r="BW40" s="82"/>
      <c r="BX40" s="82"/>
      <c r="BY40" s="82"/>
      <c r="BZ40" s="82"/>
      <c r="CA40" s="82"/>
      <c r="CB40" s="82"/>
      <c r="CC40" s="82"/>
      <c r="CD40" s="82"/>
      <c r="CE40" s="8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</row>
    <row r="41" ht="12.0" hidden="1" customHeight="1">
      <c r="A41" s="2"/>
      <c r="B41" s="83"/>
      <c r="C41" s="83"/>
      <c r="D41" s="83"/>
      <c r="E41" s="83"/>
      <c r="F41" s="1">
        <v>17.0</v>
      </c>
      <c r="G41" s="2" t="str">
        <f t="shared" si="57"/>
        <v>#REF!</v>
      </c>
      <c r="H41" s="2"/>
      <c r="I41" s="1" t="str">
        <f t="shared" si="58"/>
        <v>#REF!</v>
      </c>
      <c r="J41" s="2"/>
      <c r="P41" s="2"/>
      <c r="Q41" s="14"/>
      <c r="R41" s="84"/>
      <c r="S41" s="84"/>
      <c r="T41" s="2"/>
      <c r="U41" s="82"/>
      <c r="V41" s="82"/>
      <c r="W41" s="82"/>
      <c r="X41" s="82"/>
      <c r="Y41" s="82"/>
      <c r="Z41" s="82"/>
      <c r="AA41" s="82"/>
      <c r="AB41" s="78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</row>
  </sheetData>
  <mergeCells count="33">
    <mergeCell ref="J1:P1"/>
    <mergeCell ref="H2:O4"/>
    <mergeCell ref="R2:S2"/>
    <mergeCell ref="I5:N11"/>
    <mergeCell ref="J12:K13"/>
    <mergeCell ref="L12:N13"/>
    <mergeCell ref="L14:N15"/>
    <mergeCell ref="J20:K21"/>
    <mergeCell ref="J23:K24"/>
    <mergeCell ref="J14:K15"/>
    <mergeCell ref="J16:K17"/>
    <mergeCell ref="L16:N17"/>
    <mergeCell ref="J18:K19"/>
    <mergeCell ref="L18:N19"/>
    <mergeCell ref="I20:I21"/>
    <mergeCell ref="L20:N22"/>
    <mergeCell ref="L23:N24"/>
    <mergeCell ref="J26:N26"/>
    <mergeCell ref="J27:N27"/>
    <mergeCell ref="J28:N28"/>
    <mergeCell ref="J29:N29"/>
    <mergeCell ref="J30:O30"/>
    <mergeCell ref="J31:O31"/>
    <mergeCell ref="J39:O39"/>
    <mergeCell ref="J40:O40"/>
    <mergeCell ref="J41:O41"/>
    <mergeCell ref="J32:O32"/>
    <mergeCell ref="J33:O33"/>
    <mergeCell ref="J34:O34"/>
    <mergeCell ref="J35:O35"/>
    <mergeCell ref="J36:O36"/>
    <mergeCell ref="J37:O37"/>
    <mergeCell ref="J38:O38"/>
  </mergeCells>
  <dataValidations>
    <dataValidation type="list" allowBlank="1" showErrorMessage="1" sqref="R2">
      <formula1>"2022,2023,2024,2025,2026"</formula1>
    </dataValidation>
  </dataValidations>
  <hyperlinks>
    <hyperlink display="Hieu.600" location="StaffInformation!H423" ref="C3"/>
    <hyperlink display="Hieu.600" location="StaffInformation!H423" ref="R3"/>
    <hyperlink display="Dat.600" location="StaffInformation!G303" ref="C4"/>
    <hyperlink display="Dat.600" location="StaffInformation!G303" ref="R4"/>
    <hyperlink display="Trang.600" location="StaffInformation!H3" ref="C5"/>
    <hyperlink display="Hieu.600" location="StaffInformation!H423" ref="H5"/>
    <hyperlink display="Trang.600" location="StaffInformation!H3" ref="R5"/>
    <hyperlink display="Duong.600" location="StaffInformation!H63" ref="C6"/>
    <hyperlink display="Duong.600" location="StaffInformation!H63" ref="R6"/>
    <hyperlink display="Quynh.600" location="StaffInformation!H244" ref="C7"/>
    <hyperlink display="Quynh.600" location="StaffInformation!H244" ref="R7"/>
    <hyperlink display="Lam.600" location="StaffInformation!G183" ref="C8"/>
    <hyperlink display="Lam.600" location="StaffInformation!G183" ref="R8"/>
    <hyperlink display="Huyen.600" location="StaffInformation!H453" ref="C9"/>
    <hyperlink display="Huyen.600" location="StaffInformation!H453" ref="R9"/>
    <hyperlink display="Quan.600" location="StaffInformation!H153" ref="C10"/>
    <hyperlink display="Quan.600" location="StaffInformation!H153" ref="R10"/>
    <hyperlink display="Giang.500" location="StaffInformation!H273" ref="C11"/>
    <hyperlink display="Giang.500" location="StaffInformation!H273" ref="R11"/>
    <hyperlink display="Lan Huong.600" location="StaffInformation!H423" ref="C12"/>
    <hyperlink display="Hieu.600" location="StaffInformation!H423" ref="G12"/>
    <hyperlink display="Lan Huong.600" location="StaffInformation!H423" ref="R12"/>
    <hyperlink display="Kien.TYM" location="StaffInformation!G333" ref="C13"/>
    <hyperlink display="Kien.TYM" location="StaffInformation!G333" ref="R13"/>
    <hyperlink display="Vu.600" location="StaffInformation!G363" ref="C14"/>
    <hyperlink display="Hieu.600" location="StaffInformation!H423" ref="G14"/>
    <hyperlink display="Vu.600" location="StaffInformation!G363" ref="R14"/>
    <hyperlink display="Quyet.600" location="StaffInformation!G393" ref="C15"/>
    <hyperlink display="Quyet.600" location="StaffInformation!G393" ref="R15"/>
    <hyperlink display="Thuyet.Site" location="StaffInformation!G484" ref="C16"/>
    <hyperlink display="Hieu.600" location="StaffInformation!H423" ref="G16"/>
    <hyperlink display="Thuyet.Site" location="StaffInformation!G484" ref="R16"/>
    <hyperlink display="Tien.200" location="StaffInformation!H1025" ref="R17"/>
    <hyperlink display="Tien.200" location="StaffInformation!H1025" ref="C18"/>
    <hyperlink display="Hieu.600" location="StaffInformation!H423" ref="G18"/>
    <hyperlink display="Luat.000" location="StaffInformation!G785" ref="R18"/>
    <hyperlink display="Luat.000" location="StaffInformation!G785" ref="C19"/>
    <hyperlink display="Duy Anh.200" location="StaffInformation!G995" ref="R19"/>
    <hyperlink display="Duy Anh.200" location="StaffInformation!G995" ref="C20"/>
    <hyperlink display="Hieu.600" location="StaffInformation!H423" ref="G20"/>
    <hyperlink display="Trang.300" location="StaffInformation!H965" ref="R20"/>
    <hyperlink display="Trang.300" location="StaffInformation!H965" ref="C21"/>
    <hyperlink display="Hieu.600" location="StaffInformation!H423" ref="G21"/>
    <hyperlink display="Sim.300" location="StaffInformation!G875" ref="R21"/>
    <hyperlink display="Sim.300" location="StaffInformation!G875" ref="C22"/>
    <hyperlink display="Thuy.300" location="StaffInformation!G905" ref="R22"/>
    <hyperlink display="Thuy.300" location="StaffInformation!G905" ref="C23"/>
    <hyperlink display="Hieu.600" location="StaffInformation!H423" ref="G23"/>
    <hyperlink display="Hong.300" location="StaffInformation!G635" ref="R23"/>
    <hyperlink display="Hong.300" location="StaffInformation!G635" ref="C24"/>
    <hyperlink display="Tam.500" location="StaffInformation!G93" ref="R24"/>
    <hyperlink display="Tam.500" location="StaffInformation!G93" ref="C25"/>
    <hyperlink display="Hieu.600" location="StaffInformation!H423" ref="G25"/>
    <hyperlink display="Thao.500" location="StaffInformation!G665" ref="R25"/>
    <hyperlink display="Thao.500" location="StaffInformation!G665" ref="C26"/>
    <hyperlink display="Quyen.500" location="StaffInformation!G123" ref="R26"/>
    <hyperlink display="Quyen.500" location="StaffInformation!G123" ref="C27"/>
    <hyperlink display="Hieu.100" location="StaffInformation!G935" ref="R27"/>
    <hyperlink display="Hieu.100" location="StaffInformation!G935" ref="C28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75"/>
    <col customWidth="1" min="2" max="2" width="2.63"/>
    <col customWidth="1" min="3" max="3" width="7.38"/>
    <col customWidth="1" hidden="1" min="4" max="4" width="25.25"/>
    <col customWidth="1" min="5" max="5" width="12.5"/>
    <col customWidth="1" hidden="1" min="6" max="6" width="17.75"/>
    <col customWidth="1" hidden="1" min="7" max="7" width="14.13"/>
    <col customWidth="1" hidden="1" min="8" max="8" width="15.88"/>
    <col customWidth="1" min="9" max="9" width="3.5"/>
    <col customWidth="1" min="10" max="10" width="3.25"/>
    <col customWidth="1" min="11" max="11" width="3.63"/>
    <col customWidth="1" min="12" max="12" width="3.13"/>
    <col customWidth="1" min="13" max="13" width="3.25"/>
    <col customWidth="1" min="14" max="14" width="3.13"/>
    <col customWidth="1" min="15" max="15" width="3.0"/>
    <col customWidth="1" min="16" max="16" width="2.88"/>
    <col customWidth="1" min="17" max="17" width="3.25"/>
    <col customWidth="1" min="18" max="18" width="3.0"/>
    <col customWidth="1" min="19" max="20" width="3.25"/>
    <col customWidth="1" hidden="1" min="21" max="21" width="1.0"/>
    <col customWidth="1" min="22" max="22" width="3.38"/>
    <col customWidth="1" min="23" max="33" width="3.0"/>
    <col customWidth="1" min="34" max="34" width="6.63"/>
    <col customWidth="1" min="35" max="35" width="6.5"/>
    <col customWidth="1" min="36" max="36" width="6.88"/>
    <col customWidth="1" hidden="1" min="37" max="47" width="4.13"/>
  </cols>
  <sheetData>
    <row r="1" ht="14.25" customHeight="1">
      <c r="B1" s="20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</row>
    <row r="2">
      <c r="A2" s="20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</row>
    <row r="3">
      <c r="A3" s="20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</row>
    <row r="4">
      <c r="A4" s="20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</row>
    <row r="5">
      <c r="A5" s="20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</row>
    <row r="6">
      <c r="A6" s="20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</row>
    <row r="7">
      <c r="A7" s="20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</row>
    <row r="8">
      <c r="A8" s="20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</row>
    <row r="9">
      <c r="A9" s="20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</row>
    <row r="10">
      <c r="A10" s="20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</row>
    <row r="11">
      <c r="A11" s="20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</row>
    <row r="12">
      <c r="A12" s="20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</row>
    <row r="13">
      <c r="A13" s="20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</row>
    <row r="14">
      <c r="A14" s="20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</row>
    <row r="15">
      <c r="A15" s="20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</row>
    <row r="16" ht="25.5" customHeight="1">
      <c r="A16" s="20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</row>
    <row r="17" ht="22.5" customHeight="1">
      <c r="A17" s="20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</row>
    <row r="18">
      <c r="A18" s="20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</row>
    <row r="19" ht="21.75" customHeight="1">
      <c r="A19" s="20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</row>
    <row r="20">
      <c r="A20" s="20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</row>
    <row r="21">
      <c r="A21" s="20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</row>
    <row r="22">
      <c r="A22" s="20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</row>
    <row r="23" ht="18.0" customHeight="1">
      <c r="A23" s="20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</row>
    <row r="24" ht="21.75" customHeight="1">
      <c r="A24" s="20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</row>
    <row r="25" hidden="1">
      <c r="A25" s="86"/>
      <c r="B25" s="87"/>
      <c r="C25" s="88" t="s">
        <v>31</v>
      </c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7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</row>
    <row r="26" hidden="1">
      <c r="A26" s="86"/>
      <c r="B26" s="87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1" t="s">
        <v>32</v>
      </c>
      <c r="N26" s="90"/>
      <c r="O26" s="90"/>
      <c r="P26" s="90"/>
      <c r="Q26" s="90"/>
      <c r="R26" s="90"/>
      <c r="S26" s="90"/>
      <c r="T26" s="90"/>
      <c r="U26" s="92"/>
      <c r="V26" s="93" t="str">
        <f>AH62</f>
        <v>2026</v>
      </c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7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</row>
    <row r="27" ht="15.0" hidden="1" customHeight="1">
      <c r="A27" s="86"/>
      <c r="B27" s="87"/>
      <c r="C27" s="94" t="s">
        <v>33</v>
      </c>
      <c r="I27" s="95">
        <f>date($AH$62,1,1)</f>
        <v>46023</v>
      </c>
      <c r="J27" s="95">
        <f>date($AH$62,2,1)</f>
        <v>46054</v>
      </c>
      <c r="K27" s="95">
        <f>date($AH$62,3,1)</f>
        <v>46082</v>
      </c>
      <c r="L27" s="95">
        <f>date($AH$62,4,1)</f>
        <v>46113</v>
      </c>
      <c r="M27" s="95">
        <f>date($AH$62,5,1)</f>
        <v>46143</v>
      </c>
      <c r="N27" s="95">
        <f>date($AH$62,6,1)</f>
        <v>46174</v>
      </c>
      <c r="O27" s="95">
        <f>date($AH$62,7,1)</f>
        <v>46204</v>
      </c>
      <c r="P27" s="95">
        <f>date($AH$62,8,1)</f>
        <v>46235</v>
      </c>
      <c r="Q27" s="95">
        <f>date($AH$62,9,1)</f>
        <v>46266</v>
      </c>
      <c r="R27" s="95">
        <f>date($AH$62,10,1)</f>
        <v>46296</v>
      </c>
      <c r="S27" s="95">
        <f>date($AH$62,11,1)</f>
        <v>46327</v>
      </c>
      <c r="T27" s="95">
        <f>date($AH$62,12,1)</f>
        <v>46357</v>
      </c>
      <c r="U27" s="86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7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</row>
    <row r="28" ht="14.25" hidden="1" customHeight="1">
      <c r="A28" s="86"/>
      <c r="B28" s="87"/>
      <c r="C28" s="96"/>
      <c r="D28" s="97" t="s">
        <v>34</v>
      </c>
      <c r="E28" s="97" t="s">
        <v>35</v>
      </c>
      <c r="G28" s="97" t="s">
        <v>36</v>
      </c>
      <c r="H28" s="97" t="s">
        <v>37</v>
      </c>
      <c r="I28" s="98">
        <f>date($AH$62,2,1)</f>
        <v>46054</v>
      </c>
      <c r="J28" s="98">
        <f>date($AH$62,3,1)</f>
        <v>46082</v>
      </c>
      <c r="K28" s="98">
        <f>date($AH$62,4,1)</f>
        <v>46113</v>
      </c>
      <c r="L28" s="98">
        <f>date($AH$62,5,1)</f>
        <v>46143</v>
      </c>
      <c r="M28" s="98">
        <f>date($AH$62,6,1)</f>
        <v>46174</v>
      </c>
      <c r="N28" s="98">
        <f>date($AH$62,7,1)</f>
        <v>46204</v>
      </c>
      <c r="O28" s="98">
        <f>date($AH$62,8,1)</f>
        <v>46235</v>
      </c>
      <c r="P28" s="98">
        <f>date($AH$62,9,1)</f>
        <v>46266</v>
      </c>
      <c r="Q28" s="98">
        <f>date($AH$62,10,1)</f>
        <v>46296</v>
      </c>
      <c r="R28" s="98">
        <f>date($AH$62,11,1)</f>
        <v>46327</v>
      </c>
      <c r="S28" s="98">
        <f>date($AH$62,12,1)</f>
        <v>46357</v>
      </c>
      <c r="T28" s="98">
        <f>date($AH$62+1,1,1)</f>
        <v>46388</v>
      </c>
      <c r="U28" s="9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7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</row>
    <row r="29" hidden="1">
      <c r="A29" s="86"/>
      <c r="B29" s="100"/>
      <c r="C29" s="101" t="s">
        <v>38</v>
      </c>
      <c r="D29" s="102" t="s">
        <v>39</v>
      </c>
      <c r="E29" s="103" t="s">
        <v>3</v>
      </c>
      <c r="F29" s="102" t="s">
        <v>40</v>
      </c>
      <c r="G29" s="102" t="s">
        <v>41</v>
      </c>
      <c r="H29" s="102" t="s">
        <v>42</v>
      </c>
      <c r="I29" s="104">
        <f>sumifs(Boss!$D:$D,Boss!$B:$B,$D29,Boss!$A:$A,"&gt;="&amp;I$27,Boss!$A:$A,"&lt;="&amp;I$28)+sumifs(VPA.Director!$D:$D,VPA.Director!$B:$B,$D29,VPA.Director!$A:$A,"&gt;="&amp;I$27,VPA.Director!$A:$A,"&lt;="&amp;I$28)+sumifs(ADC.Director!$D:$D,ADC.Director!$B:$B,$D29,ADC.Director!$A:$A,"&gt;="&amp;I$27,ADC.Director!$A:$A,"&lt;="&amp;I$28)+sumifs('000'!$D:$D,'000'!$B:$B,$D29,'000'!$A:$A,"&gt;="&amp;I$27,'000'!$A:$A,"&lt;="&amp;I$28)+sumifs('500'!$D:$D,'500'!$B:$B,$D29,'500'!$A:$A,"&gt;="&amp;I$27,'500'!$A:$A,"&lt;="&amp;I$28)+sumifs('300'!$D:$D,'300'!$B:$B,$D29,'300'!$A:$A,"&gt;="&amp;I$27,'300'!$A:$A,"&lt;="&amp;I$28)+sumifs('600.VPA'!$D:$D,'600.VPA'!$B:$B,$D29,'600.VPA'!$A:$A,"&gt;="&amp;I$27,'600.VPA'!$A:$A,"&lt;="&amp;I$28)</f>
        <v>0</v>
      </c>
      <c r="J29" s="104">
        <f>sumifs(Boss!$D:$D,Boss!$B:$B,$D29,Boss!$A:$A,"&gt;="&amp;J$27,Boss!$A:$A,"&lt;="&amp;J$28)+sumifs(VPA.Director!$D:$D,VPA.Director!$B:$B,$D29,VPA.Director!$A:$A,"&gt;="&amp;J$27,VPA.Director!$A:$A,"&lt;="&amp;J$28)+sumifs(ADC.Director!$D:$D,ADC.Director!$B:$B,$D29,ADC.Director!$A:$A,"&gt;="&amp;J$27,ADC.Director!$A:$A,"&lt;="&amp;J$28)+sumifs('000'!$D:$D,'000'!$B:$B,$D29,'000'!$A:$A,"&gt;="&amp;J$27,'000'!$A:$A,"&lt;="&amp;J$28)+sumifs('500'!$D:$D,'500'!$B:$B,$D29,'500'!$A:$A,"&gt;="&amp;J$27,'500'!$A:$A,"&lt;="&amp;J$28)+sumifs('300'!$D:$D,'300'!$B:$B,$D29,'300'!$A:$A,"&gt;="&amp;J$27,'300'!$A:$A,"&lt;="&amp;J$28)+sumifs('600.VPA'!$D:$D,'600.VPA'!$B:$B,$D29,'600.VPA'!$A:$A,"&gt;="&amp;J$27,'600.VPA'!$A:$A,"&lt;="&amp;J$28)</f>
        <v>0</v>
      </c>
      <c r="K29" s="104">
        <f>sumifs(Boss!$D:$D,Boss!$B:$B,$D29,Boss!$A:$A,"&gt;="&amp;K$27,Boss!$A:$A,"&lt;="&amp;K$28)+sumifs(VPA.Director!$D:$D,VPA.Director!$B:$B,$D29,VPA.Director!$A:$A,"&gt;="&amp;K$27,VPA.Director!$A:$A,"&lt;="&amp;K$28)+sumifs(ADC.Director!$D:$D,ADC.Director!$B:$B,$D29,ADC.Director!$A:$A,"&gt;="&amp;K$27,ADC.Director!$A:$A,"&lt;="&amp;K$28)+sumifs('000'!$D:$D,'000'!$B:$B,$D29,'000'!$A:$A,"&gt;="&amp;K$27,'000'!$A:$A,"&lt;="&amp;K$28)+sumifs('500'!$D:$D,'500'!$B:$B,$D29,'500'!$A:$A,"&gt;="&amp;K$27,'500'!$A:$A,"&lt;="&amp;K$28)+sumifs('300'!$D:$D,'300'!$B:$B,$D29,'300'!$A:$A,"&gt;="&amp;K$27,'300'!$A:$A,"&lt;="&amp;K$28)+sumifs('600.VPA'!$D:$D,'600.VPA'!$B:$B,$D29,'600.VPA'!$A:$A,"&gt;="&amp;K$27,'600.VPA'!$A:$A,"&lt;="&amp;K$28)</f>
        <v>0</v>
      </c>
      <c r="L29" s="104">
        <f>sumifs(Boss!$D:$D,Boss!$B:$B,$D29,Boss!$A:$A,"&gt;="&amp;L$27,Boss!$A:$A,"&lt;="&amp;L$28)+sumifs(VPA.Director!$D:$D,VPA.Director!$B:$B,$D29,VPA.Director!$A:$A,"&gt;="&amp;L$27,VPA.Director!$A:$A,"&lt;="&amp;L$28)+sumifs(ADC.Director!$D:$D,ADC.Director!$B:$B,$D29,ADC.Director!$A:$A,"&gt;="&amp;L$27,ADC.Director!$A:$A,"&lt;="&amp;L$28)+sumifs('000'!$D:$D,'000'!$B:$B,$D29,'000'!$A:$A,"&gt;="&amp;L$27,'000'!$A:$A,"&lt;="&amp;L$28)+sumifs('500'!$D:$D,'500'!$B:$B,$D29,'500'!$A:$A,"&gt;="&amp;L$27,'500'!$A:$A,"&lt;="&amp;L$28)+sumifs('300'!$D:$D,'300'!$B:$B,$D29,'300'!$A:$A,"&gt;="&amp;L$27,'300'!$A:$A,"&lt;="&amp;L$28)+sumifs('600.VPA'!$D:$D,'600.VPA'!$B:$B,$D29,'600.VPA'!$A:$A,"&gt;="&amp;L$27,'600.VPA'!$A:$A,"&lt;="&amp;L$28)</f>
        <v>0</v>
      </c>
      <c r="M29" s="104">
        <f>sumifs(Boss!$D:$D,Boss!$B:$B,$D29,Boss!$A:$A,"&gt;="&amp;M$27,Boss!$A:$A,"&lt;="&amp;M$28)+sumifs(VPA.Director!$D:$D,VPA.Director!$B:$B,$D29,VPA.Director!$A:$A,"&gt;="&amp;M$27,VPA.Director!$A:$A,"&lt;="&amp;M$28)+sumifs(ADC.Director!$D:$D,ADC.Director!$B:$B,$D29,ADC.Director!$A:$A,"&gt;="&amp;M$27,ADC.Director!$A:$A,"&lt;="&amp;M$28)+sumifs('000'!$D:$D,'000'!$B:$B,$D29,'000'!$A:$A,"&gt;="&amp;M$27,'000'!$A:$A,"&lt;="&amp;M$28)+sumifs('500'!$D:$D,'500'!$B:$B,$D29,'500'!$A:$A,"&gt;="&amp;M$27,'500'!$A:$A,"&lt;="&amp;M$28)+sumifs('300'!$D:$D,'300'!$B:$B,$D29,'300'!$A:$A,"&gt;="&amp;M$27,'300'!$A:$A,"&lt;="&amp;M$28)+sumifs('600.VPA'!$D:$D,'600.VPA'!$B:$B,$D29,'600.VPA'!$A:$A,"&gt;="&amp;M$27,'600.VPA'!$A:$A,"&lt;="&amp;M$28)</f>
        <v>0</v>
      </c>
      <c r="N29" s="104">
        <f>sumifs(Boss!$D:$D,Boss!$B:$B,$D29,Boss!$A:$A,"&gt;="&amp;N$27,Boss!$A:$A,"&lt;="&amp;N$28)+sumifs(VPA.Director!$D:$D,VPA.Director!$B:$B,$D29,VPA.Director!$A:$A,"&gt;="&amp;N$27,VPA.Director!$A:$A,"&lt;="&amp;N$28)+sumifs(ADC.Director!$D:$D,ADC.Director!$B:$B,$D29,ADC.Director!$A:$A,"&gt;="&amp;N$27,ADC.Director!$A:$A,"&lt;="&amp;N$28)+sumifs('000'!$D:$D,'000'!$B:$B,$D29,'000'!$A:$A,"&gt;="&amp;N$27,'000'!$A:$A,"&lt;="&amp;N$28)+sumifs('500'!$D:$D,'500'!$B:$B,$D29,'500'!$A:$A,"&gt;="&amp;N$27,'500'!$A:$A,"&lt;="&amp;N$28)+sumifs('300'!$D:$D,'300'!$B:$B,$D29,'300'!$A:$A,"&gt;="&amp;N$27,'300'!$A:$A,"&lt;="&amp;N$28)+sumifs('600.VPA'!$D:$D,'600.VPA'!$B:$B,$D29,'600.VPA'!$A:$A,"&gt;="&amp;N$27,'600.VPA'!$A:$A,"&lt;="&amp;N$28)</f>
        <v>0</v>
      </c>
      <c r="O29" s="104">
        <f>sumifs(Boss!$D:$D,Boss!$B:$B,$D29,Boss!$A:$A,"&gt;="&amp;O$27,Boss!$A:$A,"&lt;="&amp;O$28)+sumifs(VPA.Director!$D:$D,VPA.Director!$B:$B,$D29,VPA.Director!$A:$A,"&gt;="&amp;O$27,VPA.Director!$A:$A,"&lt;="&amp;O$28)+sumifs(ADC.Director!$D:$D,ADC.Director!$B:$B,$D29,ADC.Director!$A:$A,"&gt;="&amp;O$27,ADC.Director!$A:$A,"&lt;="&amp;O$28)+sumifs('000'!$D:$D,'000'!$B:$B,$D29,'000'!$A:$A,"&gt;="&amp;O$27,'000'!$A:$A,"&lt;="&amp;O$28)+sumifs('500'!$D:$D,'500'!$B:$B,$D29,'500'!$A:$A,"&gt;="&amp;O$27,'500'!$A:$A,"&lt;="&amp;O$28)+sumifs('300'!$D:$D,'300'!$B:$B,$D29,'300'!$A:$A,"&gt;="&amp;O$27,'300'!$A:$A,"&lt;="&amp;O$28)+sumifs('600.VPA'!$D:$D,'600.VPA'!$B:$B,$D29,'600.VPA'!$A:$A,"&gt;="&amp;O$27,'600.VPA'!$A:$A,"&lt;="&amp;O$28)</f>
        <v>0</v>
      </c>
      <c r="P29" s="104">
        <f>sumifs(Boss!$D:$D,Boss!$B:$B,$D29,Boss!$A:$A,"&gt;="&amp;P$27,Boss!$A:$A,"&lt;="&amp;P$28)+sumifs(VPA.Director!$D:$D,VPA.Director!$B:$B,$D29,VPA.Director!$A:$A,"&gt;="&amp;P$27,VPA.Director!$A:$A,"&lt;="&amp;P$28)+sumifs(ADC.Director!$D:$D,ADC.Director!$B:$B,$D29,ADC.Director!$A:$A,"&gt;="&amp;P$27,ADC.Director!$A:$A,"&lt;="&amp;P$28)+sumifs('000'!$D:$D,'000'!$B:$B,$D29,'000'!$A:$A,"&gt;="&amp;P$27,'000'!$A:$A,"&lt;="&amp;P$28)+sumifs('500'!$D:$D,'500'!$B:$B,$D29,'500'!$A:$A,"&gt;="&amp;P$27,'500'!$A:$A,"&lt;="&amp;P$28)+sumifs('300'!$D:$D,'300'!$B:$B,$D29,'300'!$A:$A,"&gt;="&amp;P$27,'300'!$A:$A,"&lt;="&amp;P$28)+sumifs('600.VPA'!$D:$D,'600.VPA'!$B:$B,$D29,'600.VPA'!$A:$A,"&gt;="&amp;P$27,'600.VPA'!$A:$A,"&lt;="&amp;P$28)</f>
        <v>0</v>
      </c>
      <c r="Q29" s="104">
        <f>sumifs(Boss!$D:$D,Boss!$B:$B,$D29,Boss!$A:$A,"&gt;="&amp;Q$27,Boss!$A:$A,"&lt;="&amp;Q$28)+sumifs(VPA.Director!$D:$D,VPA.Director!$B:$B,$D29,VPA.Director!$A:$A,"&gt;="&amp;Q$27,VPA.Director!$A:$A,"&lt;="&amp;Q$28)+sumifs(ADC.Director!$D:$D,ADC.Director!$B:$B,$D29,ADC.Director!$A:$A,"&gt;="&amp;Q$27,ADC.Director!$A:$A,"&lt;="&amp;Q$28)+sumifs('000'!$D:$D,'000'!$B:$B,$D29,'000'!$A:$A,"&gt;="&amp;Q$27,'000'!$A:$A,"&lt;="&amp;Q$28)+sumifs('500'!$D:$D,'500'!$B:$B,$D29,'500'!$A:$A,"&gt;="&amp;Q$27,'500'!$A:$A,"&lt;="&amp;Q$28)+sumifs('300'!$D:$D,'300'!$B:$B,$D29,'300'!$A:$A,"&gt;="&amp;Q$27,'300'!$A:$A,"&lt;="&amp;Q$28)+sumifs('600.VPA'!$D:$D,'600.VPA'!$B:$B,$D29,'600.VPA'!$A:$A,"&gt;="&amp;Q$27,'600.VPA'!$A:$A,"&lt;="&amp;Q$28)</f>
        <v>0</v>
      </c>
      <c r="R29" s="104">
        <f>sumifs(Boss!$D:$D,Boss!$B:$B,$D29,Boss!$A:$A,"&gt;="&amp;R$27,Boss!$A:$A,"&lt;="&amp;R$28)+sumifs(VPA.Director!$D:$D,VPA.Director!$B:$B,$D29,VPA.Director!$A:$A,"&gt;="&amp;R$27,VPA.Director!$A:$A,"&lt;="&amp;R$28)+sumifs(ADC.Director!$D:$D,ADC.Director!$B:$B,$D29,ADC.Director!$A:$A,"&gt;="&amp;R$27,ADC.Director!$A:$A,"&lt;="&amp;R$28)+sumifs('000'!$D:$D,'000'!$B:$B,$D29,'000'!$A:$A,"&gt;="&amp;R$27,'000'!$A:$A,"&lt;="&amp;R$28)+sumifs('500'!$D:$D,'500'!$B:$B,$D29,'500'!$A:$A,"&gt;="&amp;R$27,'500'!$A:$A,"&lt;="&amp;R$28)+sumifs('300'!$D:$D,'300'!$B:$B,$D29,'300'!$A:$A,"&gt;="&amp;R$27,'300'!$A:$A,"&lt;="&amp;R$28)+sumifs('600.VPA'!$D:$D,'600.VPA'!$B:$B,$D29,'600.VPA'!$A:$A,"&gt;="&amp;R$27,'600.VPA'!$A:$A,"&lt;="&amp;R$28)</f>
        <v>0</v>
      </c>
      <c r="S29" s="104">
        <f>sumifs(Boss!$D:$D,Boss!$B:$B,$D29,Boss!$A:$A,"&gt;="&amp;S$27,Boss!$A:$A,"&lt;="&amp;S$28)+sumifs(VPA.Director!$D:$D,VPA.Director!$B:$B,$D29,VPA.Director!$A:$A,"&gt;="&amp;S$27,VPA.Director!$A:$A,"&lt;="&amp;S$28)+sumifs(ADC.Director!$D:$D,ADC.Director!$B:$B,$D29,ADC.Director!$A:$A,"&gt;="&amp;S$27,ADC.Director!$A:$A,"&lt;="&amp;S$28)+sumifs('000'!$D:$D,'000'!$B:$B,$D29,'000'!$A:$A,"&gt;="&amp;S$27,'000'!$A:$A,"&lt;="&amp;S$28)+sumifs('500'!$D:$D,'500'!$B:$B,$D29,'500'!$A:$A,"&gt;="&amp;S$27,'500'!$A:$A,"&lt;="&amp;S$28)+sumifs('300'!$D:$D,'300'!$B:$B,$D29,'300'!$A:$A,"&gt;="&amp;S$27,'300'!$A:$A,"&lt;="&amp;S$28)+sumifs('600.VPA'!$D:$D,'600.VPA'!$B:$B,$D29,'600.VPA'!$A:$A,"&gt;="&amp;S$27,'600.VPA'!$A:$A,"&lt;="&amp;S$28)</f>
        <v>0</v>
      </c>
      <c r="T29" s="104">
        <f>sumifs(Boss!$D:$D,Boss!$B:$B,$D29,Boss!$A:$A,"&gt;="&amp;T$27,Boss!$A:$A,"&lt;="&amp;T$28)+sumifs(VPA.Director!$D:$D,VPA.Director!$B:$B,$D29,VPA.Director!$A:$A,"&gt;="&amp;T$27,VPA.Director!$A:$A,"&lt;="&amp;T$28)+sumifs(ADC.Director!$D:$D,ADC.Director!$B:$B,$D29,ADC.Director!$A:$A,"&gt;="&amp;T$27,ADC.Director!$A:$A,"&lt;="&amp;T$28)+sumifs('000'!$D:$D,'000'!$B:$B,$D29,'000'!$A:$A,"&gt;="&amp;T$27,'000'!$A:$A,"&lt;="&amp;T$28)+sumifs('500'!$D:$D,'500'!$B:$B,$D29,'500'!$A:$A,"&gt;="&amp;T$27,'500'!$A:$A,"&lt;="&amp;T$28)+sumifs('300'!$D:$D,'300'!$B:$B,$D29,'300'!$A:$A,"&gt;="&amp;T$27,'300'!$A:$A,"&lt;="&amp;T$28)+sumifs('600.VPA'!$D:$D,'600.VPA'!$B:$B,$D29,'600.VPA'!$A:$A,"&gt;="&amp;T$27,'600.VPA'!$A:$A,"&lt;="&amp;T$28)</f>
        <v>0</v>
      </c>
      <c r="U29" s="86"/>
      <c r="V29" s="105">
        <f t="shared" ref="V29:V55" si="1">sum(I29:T29)</f>
        <v>0</v>
      </c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7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</row>
    <row r="30" hidden="1">
      <c r="A30" s="86"/>
      <c r="B30" s="100"/>
      <c r="D30" s="102" t="s">
        <v>43</v>
      </c>
      <c r="E30" s="103" t="s">
        <v>4</v>
      </c>
      <c r="F30" s="102" t="s">
        <v>44</v>
      </c>
      <c r="G30" s="102" t="s">
        <v>45</v>
      </c>
      <c r="H30" s="102" t="s">
        <v>42</v>
      </c>
      <c r="I30" s="104">
        <f>sumifs(Boss!$D:$D,Boss!$B:$B,$D30,Boss!$A:$A,"&gt;="&amp;I$27,Boss!$A:$A,"&lt;="&amp;I$28)+sumifs(VPA.Director!$D:$D,VPA.Director!$B:$B,$D30,VPA.Director!$A:$A,"&gt;="&amp;I$27,VPA.Director!$A:$A,"&lt;="&amp;I$28)+sumifs(ADC.Director!$D:$D,ADC.Director!$B:$B,$D30,ADC.Director!$A:$A,"&gt;="&amp;I$27,ADC.Director!$A:$A,"&lt;="&amp;I$28)+sumifs('000'!$D:$D,'000'!$B:$B,$D30,'000'!$A:$A,"&gt;="&amp;I$27,'000'!$A:$A,"&lt;="&amp;I$28)+sumifs('500'!$D:$D,'500'!$B:$B,$D30,'500'!$A:$A,"&gt;="&amp;I$27,'500'!$A:$A,"&lt;="&amp;I$28)+sumifs('300'!$D:$D,'300'!$B:$B,$D30,'300'!$A:$A,"&gt;="&amp;I$27,'300'!$A:$A,"&lt;="&amp;I$28)+sumifs('600.VPA'!$D:$D,'600.VPA'!$B:$B,$D30,'600.VPA'!$A:$A,"&gt;="&amp;I$27,'600.VPA'!$A:$A,"&lt;="&amp;I$28)</f>
        <v>0</v>
      </c>
      <c r="J30" s="104">
        <f>sumifs(Boss!$D:$D,Boss!$B:$B,$D30,Boss!$A:$A,"&gt;="&amp;J$27,Boss!$A:$A,"&lt;="&amp;J$28)+sumifs(VPA.Director!$D:$D,VPA.Director!$B:$B,$D30,VPA.Director!$A:$A,"&gt;="&amp;J$27,VPA.Director!$A:$A,"&lt;="&amp;J$28)+sumifs(ADC.Director!$D:$D,ADC.Director!$B:$B,$D30,ADC.Director!$A:$A,"&gt;="&amp;J$27,ADC.Director!$A:$A,"&lt;="&amp;J$28)+sumifs('000'!$D:$D,'000'!$B:$B,$D30,'000'!$A:$A,"&gt;="&amp;J$27,'000'!$A:$A,"&lt;="&amp;J$28)+sumifs('500'!$D:$D,'500'!$B:$B,$D30,'500'!$A:$A,"&gt;="&amp;J$27,'500'!$A:$A,"&lt;="&amp;J$28)+sumifs('300'!$D:$D,'300'!$B:$B,$D30,'300'!$A:$A,"&gt;="&amp;J$27,'300'!$A:$A,"&lt;="&amp;J$28)+sumifs('600.VPA'!$D:$D,'600.VPA'!$B:$B,$D30,'600.VPA'!$A:$A,"&gt;="&amp;J$27,'600.VPA'!$A:$A,"&lt;="&amp;J$28)</f>
        <v>0</v>
      </c>
      <c r="K30" s="104">
        <f>sumifs(Boss!$D:$D,Boss!$B:$B,$D30,Boss!$A:$A,"&gt;="&amp;K$27,Boss!$A:$A,"&lt;="&amp;K$28)+sumifs(VPA.Director!$D:$D,VPA.Director!$B:$B,$D30,VPA.Director!$A:$A,"&gt;="&amp;K$27,VPA.Director!$A:$A,"&lt;="&amp;K$28)+sumifs(ADC.Director!$D:$D,ADC.Director!$B:$B,$D30,ADC.Director!$A:$A,"&gt;="&amp;K$27,ADC.Director!$A:$A,"&lt;="&amp;K$28)+sumifs('000'!$D:$D,'000'!$B:$B,$D30,'000'!$A:$A,"&gt;="&amp;K$27,'000'!$A:$A,"&lt;="&amp;K$28)+sumifs('500'!$D:$D,'500'!$B:$B,$D30,'500'!$A:$A,"&gt;="&amp;K$27,'500'!$A:$A,"&lt;="&amp;K$28)+sumifs('300'!$D:$D,'300'!$B:$B,$D30,'300'!$A:$A,"&gt;="&amp;K$27,'300'!$A:$A,"&lt;="&amp;K$28)+sumifs('600.VPA'!$D:$D,'600.VPA'!$B:$B,$D30,'600.VPA'!$A:$A,"&gt;="&amp;K$27,'600.VPA'!$A:$A,"&lt;="&amp;K$28)</f>
        <v>0</v>
      </c>
      <c r="L30" s="104">
        <f>sumifs(Boss!$D:$D,Boss!$B:$B,$D30,Boss!$A:$A,"&gt;="&amp;L$27,Boss!$A:$A,"&lt;="&amp;L$28)+sumifs(VPA.Director!$D:$D,VPA.Director!$B:$B,$D30,VPA.Director!$A:$A,"&gt;="&amp;L$27,VPA.Director!$A:$A,"&lt;="&amp;L$28)+sumifs(ADC.Director!$D:$D,ADC.Director!$B:$B,$D30,ADC.Director!$A:$A,"&gt;="&amp;L$27,ADC.Director!$A:$A,"&lt;="&amp;L$28)+sumifs('000'!$D:$D,'000'!$B:$B,$D30,'000'!$A:$A,"&gt;="&amp;L$27,'000'!$A:$A,"&lt;="&amp;L$28)+sumifs('500'!$D:$D,'500'!$B:$B,$D30,'500'!$A:$A,"&gt;="&amp;L$27,'500'!$A:$A,"&lt;="&amp;L$28)+sumifs('300'!$D:$D,'300'!$B:$B,$D30,'300'!$A:$A,"&gt;="&amp;L$27,'300'!$A:$A,"&lt;="&amp;L$28)+sumifs('600.VPA'!$D:$D,'600.VPA'!$B:$B,$D30,'600.VPA'!$A:$A,"&gt;="&amp;L$27,'600.VPA'!$A:$A,"&lt;="&amp;L$28)</f>
        <v>0</v>
      </c>
      <c r="M30" s="104">
        <f>sumifs(Boss!$D:$D,Boss!$B:$B,$D30,Boss!$A:$A,"&gt;="&amp;M$27,Boss!$A:$A,"&lt;="&amp;M$28)+sumifs(VPA.Director!$D:$D,VPA.Director!$B:$B,$D30,VPA.Director!$A:$A,"&gt;="&amp;M$27,VPA.Director!$A:$A,"&lt;="&amp;M$28)+sumifs(ADC.Director!$D:$D,ADC.Director!$B:$B,$D30,ADC.Director!$A:$A,"&gt;="&amp;M$27,ADC.Director!$A:$A,"&lt;="&amp;M$28)+sumifs('000'!$D:$D,'000'!$B:$B,$D30,'000'!$A:$A,"&gt;="&amp;M$27,'000'!$A:$A,"&lt;="&amp;M$28)+sumifs('500'!$D:$D,'500'!$B:$B,$D30,'500'!$A:$A,"&gt;="&amp;M$27,'500'!$A:$A,"&lt;="&amp;M$28)+sumifs('300'!$D:$D,'300'!$B:$B,$D30,'300'!$A:$A,"&gt;="&amp;M$27,'300'!$A:$A,"&lt;="&amp;M$28)+sumifs('600.VPA'!$D:$D,'600.VPA'!$B:$B,$D30,'600.VPA'!$A:$A,"&gt;="&amp;M$27,'600.VPA'!$A:$A,"&lt;="&amp;M$28)</f>
        <v>0</v>
      </c>
      <c r="N30" s="104">
        <f>sumifs(Boss!$D:$D,Boss!$B:$B,$D30,Boss!$A:$A,"&gt;="&amp;N$27,Boss!$A:$A,"&lt;="&amp;N$28)+sumifs(VPA.Director!$D:$D,VPA.Director!$B:$B,$D30,VPA.Director!$A:$A,"&gt;="&amp;N$27,VPA.Director!$A:$A,"&lt;="&amp;N$28)+sumifs(ADC.Director!$D:$D,ADC.Director!$B:$B,$D30,ADC.Director!$A:$A,"&gt;="&amp;N$27,ADC.Director!$A:$A,"&lt;="&amp;N$28)+sumifs('000'!$D:$D,'000'!$B:$B,$D30,'000'!$A:$A,"&gt;="&amp;N$27,'000'!$A:$A,"&lt;="&amp;N$28)+sumifs('500'!$D:$D,'500'!$B:$B,$D30,'500'!$A:$A,"&gt;="&amp;N$27,'500'!$A:$A,"&lt;="&amp;N$28)+sumifs('300'!$D:$D,'300'!$B:$B,$D30,'300'!$A:$A,"&gt;="&amp;N$27,'300'!$A:$A,"&lt;="&amp;N$28)+sumifs('600.VPA'!$D:$D,'600.VPA'!$B:$B,$D30,'600.VPA'!$A:$A,"&gt;="&amp;N$27,'600.VPA'!$A:$A,"&lt;="&amp;N$28)</f>
        <v>0</v>
      </c>
      <c r="O30" s="104">
        <f>sumifs(Boss!$D:$D,Boss!$B:$B,$D30,Boss!$A:$A,"&gt;="&amp;O$27,Boss!$A:$A,"&lt;="&amp;O$28)+sumifs(VPA.Director!$D:$D,VPA.Director!$B:$B,$D30,VPA.Director!$A:$A,"&gt;="&amp;O$27,VPA.Director!$A:$A,"&lt;="&amp;O$28)+sumifs(ADC.Director!$D:$D,ADC.Director!$B:$B,$D30,ADC.Director!$A:$A,"&gt;="&amp;O$27,ADC.Director!$A:$A,"&lt;="&amp;O$28)+sumifs('000'!$D:$D,'000'!$B:$B,$D30,'000'!$A:$A,"&gt;="&amp;O$27,'000'!$A:$A,"&lt;="&amp;O$28)+sumifs('500'!$D:$D,'500'!$B:$B,$D30,'500'!$A:$A,"&gt;="&amp;O$27,'500'!$A:$A,"&lt;="&amp;O$28)+sumifs('300'!$D:$D,'300'!$B:$B,$D30,'300'!$A:$A,"&gt;="&amp;O$27,'300'!$A:$A,"&lt;="&amp;O$28)+sumifs('600.VPA'!$D:$D,'600.VPA'!$B:$B,$D30,'600.VPA'!$A:$A,"&gt;="&amp;O$27,'600.VPA'!$A:$A,"&lt;="&amp;O$28)</f>
        <v>0</v>
      </c>
      <c r="P30" s="104">
        <f>sumifs(Boss!$D:$D,Boss!$B:$B,$D30,Boss!$A:$A,"&gt;="&amp;P$27,Boss!$A:$A,"&lt;="&amp;P$28)+sumifs(VPA.Director!$D:$D,VPA.Director!$B:$B,$D30,VPA.Director!$A:$A,"&gt;="&amp;P$27,VPA.Director!$A:$A,"&lt;="&amp;P$28)+sumifs(ADC.Director!$D:$D,ADC.Director!$B:$B,$D30,ADC.Director!$A:$A,"&gt;="&amp;P$27,ADC.Director!$A:$A,"&lt;="&amp;P$28)+sumifs('000'!$D:$D,'000'!$B:$B,$D30,'000'!$A:$A,"&gt;="&amp;P$27,'000'!$A:$A,"&lt;="&amp;P$28)+sumifs('500'!$D:$D,'500'!$B:$B,$D30,'500'!$A:$A,"&gt;="&amp;P$27,'500'!$A:$A,"&lt;="&amp;P$28)+sumifs('300'!$D:$D,'300'!$B:$B,$D30,'300'!$A:$A,"&gt;="&amp;P$27,'300'!$A:$A,"&lt;="&amp;P$28)+sumifs('600.VPA'!$D:$D,'600.VPA'!$B:$B,$D30,'600.VPA'!$A:$A,"&gt;="&amp;P$27,'600.VPA'!$A:$A,"&lt;="&amp;P$28)</f>
        <v>0</v>
      </c>
      <c r="Q30" s="104">
        <f>sumifs(Boss!$D:$D,Boss!$B:$B,$D30,Boss!$A:$A,"&gt;="&amp;Q$27,Boss!$A:$A,"&lt;="&amp;Q$28)+sumifs(VPA.Director!$D:$D,VPA.Director!$B:$B,$D30,VPA.Director!$A:$A,"&gt;="&amp;Q$27,VPA.Director!$A:$A,"&lt;="&amp;Q$28)+sumifs(ADC.Director!$D:$D,ADC.Director!$B:$B,$D30,ADC.Director!$A:$A,"&gt;="&amp;Q$27,ADC.Director!$A:$A,"&lt;="&amp;Q$28)+sumifs('000'!$D:$D,'000'!$B:$B,$D30,'000'!$A:$A,"&gt;="&amp;Q$27,'000'!$A:$A,"&lt;="&amp;Q$28)+sumifs('500'!$D:$D,'500'!$B:$B,$D30,'500'!$A:$A,"&gt;="&amp;Q$27,'500'!$A:$A,"&lt;="&amp;Q$28)+sumifs('300'!$D:$D,'300'!$B:$B,$D30,'300'!$A:$A,"&gt;="&amp;Q$27,'300'!$A:$A,"&lt;="&amp;Q$28)+sumifs('600.VPA'!$D:$D,'600.VPA'!$B:$B,$D30,'600.VPA'!$A:$A,"&gt;="&amp;Q$27,'600.VPA'!$A:$A,"&lt;="&amp;Q$28)</f>
        <v>0</v>
      </c>
      <c r="R30" s="104">
        <f>sumifs(Boss!$D:$D,Boss!$B:$B,$D30,Boss!$A:$A,"&gt;="&amp;R$27,Boss!$A:$A,"&lt;="&amp;R$28)+sumifs(VPA.Director!$D:$D,VPA.Director!$B:$B,$D30,VPA.Director!$A:$A,"&gt;="&amp;R$27,VPA.Director!$A:$A,"&lt;="&amp;R$28)+sumifs(ADC.Director!$D:$D,ADC.Director!$B:$B,$D30,ADC.Director!$A:$A,"&gt;="&amp;R$27,ADC.Director!$A:$A,"&lt;="&amp;R$28)+sumifs('000'!$D:$D,'000'!$B:$B,$D30,'000'!$A:$A,"&gt;="&amp;R$27,'000'!$A:$A,"&lt;="&amp;R$28)+sumifs('500'!$D:$D,'500'!$B:$B,$D30,'500'!$A:$A,"&gt;="&amp;R$27,'500'!$A:$A,"&lt;="&amp;R$28)+sumifs('300'!$D:$D,'300'!$B:$B,$D30,'300'!$A:$A,"&gt;="&amp;R$27,'300'!$A:$A,"&lt;="&amp;R$28)+sumifs('600.VPA'!$D:$D,'600.VPA'!$B:$B,$D30,'600.VPA'!$A:$A,"&gt;="&amp;R$27,'600.VPA'!$A:$A,"&lt;="&amp;R$28)</f>
        <v>0</v>
      </c>
      <c r="S30" s="104">
        <f>sumifs(Boss!$D:$D,Boss!$B:$B,$D30,Boss!$A:$A,"&gt;="&amp;S$27,Boss!$A:$A,"&lt;="&amp;S$28)+sumifs(VPA.Director!$D:$D,VPA.Director!$B:$B,$D30,VPA.Director!$A:$A,"&gt;="&amp;S$27,VPA.Director!$A:$A,"&lt;="&amp;S$28)+sumifs(ADC.Director!$D:$D,ADC.Director!$B:$B,$D30,ADC.Director!$A:$A,"&gt;="&amp;S$27,ADC.Director!$A:$A,"&lt;="&amp;S$28)+sumifs('000'!$D:$D,'000'!$B:$B,$D30,'000'!$A:$A,"&gt;="&amp;S$27,'000'!$A:$A,"&lt;="&amp;S$28)+sumifs('500'!$D:$D,'500'!$B:$B,$D30,'500'!$A:$A,"&gt;="&amp;S$27,'500'!$A:$A,"&lt;="&amp;S$28)+sumifs('300'!$D:$D,'300'!$B:$B,$D30,'300'!$A:$A,"&gt;="&amp;S$27,'300'!$A:$A,"&lt;="&amp;S$28)+sumifs('600.VPA'!$D:$D,'600.VPA'!$B:$B,$D30,'600.VPA'!$A:$A,"&gt;="&amp;S$27,'600.VPA'!$A:$A,"&lt;="&amp;S$28)</f>
        <v>0</v>
      </c>
      <c r="T30" s="104">
        <f>sumifs(Boss!$D:$D,Boss!$B:$B,$D30,Boss!$A:$A,"&gt;="&amp;T$27,Boss!$A:$A,"&lt;="&amp;T$28)+sumifs(VPA.Director!$D:$D,VPA.Director!$B:$B,$D30,VPA.Director!$A:$A,"&gt;="&amp;T$27,VPA.Director!$A:$A,"&lt;="&amp;T$28)+sumifs(ADC.Director!$D:$D,ADC.Director!$B:$B,$D30,ADC.Director!$A:$A,"&gt;="&amp;T$27,ADC.Director!$A:$A,"&lt;="&amp;T$28)+sumifs('000'!$D:$D,'000'!$B:$B,$D30,'000'!$A:$A,"&gt;="&amp;T$27,'000'!$A:$A,"&lt;="&amp;T$28)+sumifs('500'!$D:$D,'500'!$B:$B,$D30,'500'!$A:$A,"&gt;="&amp;T$27,'500'!$A:$A,"&lt;="&amp;T$28)+sumifs('300'!$D:$D,'300'!$B:$B,$D30,'300'!$A:$A,"&gt;="&amp;T$27,'300'!$A:$A,"&lt;="&amp;T$28)+sumifs('600.VPA'!$D:$D,'600.VPA'!$B:$B,$D30,'600.VPA'!$A:$A,"&gt;="&amp;T$27,'600.VPA'!$A:$A,"&lt;="&amp;T$28)</f>
        <v>0</v>
      </c>
      <c r="U30" s="86"/>
      <c r="V30" s="105">
        <f t="shared" si="1"/>
        <v>0</v>
      </c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7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</row>
    <row r="31" hidden="1">
      <c r="A31" s="86"/>
      <c r="B31" s="100"/>
      <c r="D31" s="102" t="s">
        <v>46</v>
      </c>
      <c r="E31" s="103" t="s">
        <v>5</v>
      </c>
      <c r="F31" s="102" t="s">
        <v>47</v>
      </c>
      <c r="G31" s="102" t="s">
        <v>48</v>
      </c>
      <c r="H31" s="102" t="s">
        <v>49</v>
      </c>
      <c r="I31" s="104">
        <f>sumifs(Boss!$D:$D,Boss!$B:$B,$D31,Boss!$A:$A,"&gt;="&amp;I$27,Boss!$A:$A,"&lt;="&amp;I$28)+sumifs(VPA.Director!$D:$D,VPA.Director!$B:$B,$D31,VPA.Director!$A:$A,"&gt;="&amp;I$27,VPA.Director!$A:$A,"&lt;="&amp;I$28)+sumifs(ADC.Director!$D:$D,ADC.Director!$B:$B,$D31,ADC.Director!$A:$A,"&gt;="&amp;I$27,ADC.Director!$A:$A,"&lt;="&amp;I$28)+sumifs('000'!$D:$D,'000'!$B:$B,$D31,'000'!$A:$A,"&gt;="&amp;I$27,'000'!$A:$A,"&lt;="&amp;I$28)+sumifs('500'!$D:$D,'500'!$B:$B,$D31,'500'!$A:$A,"&gt;="&amp;I$27,'500'!$A:$A,"&lt;="&amp;I$28)+sumifs('300'!$D:$D,'300'!$B:$B,$D31,'300'!$A:$A,"&gt;="&amp;I$27,'300'!$A:$A,"&lt;="&amp;I$28)+sumifs('600.VPA'!$D:$D,'600.VPA'!$B:$B,$D31,'600.VPA'!$A:$A,"&gt;="&amp;I$27,'600.VPA'!$A:$A,"&lt;="&amp;I$28)</f>
        <v>0</v>
      </c>
      <c r="J31" s="104">
        <f>sumifs(Boss!$D:$D,Boss!$B:$B,$D31,Boss!$A:$A,"&gt;="&amp;J$27,Boss!$A:$A,"&lt;="&amp;J$28)+sumifs(VPA.Director!$D:$D,VPA.Director!$B:$B,$D31,VPA.Director!$A:$A,"&gt;="&amp;J$27,VPA.Director!$A:$A,"&lt;="&amp;J$28)+sumifs(ADC.Director!$D:$D,ADC.Director!$B:$B,$D31,ADC.Director!$A:$A,"&gt;="&amp;J$27,ADC.Director!$A:$A,"&lt;="&amp;J$28)+sumifs('000'!$D:$D,'000'!$B:$B,$D31,'000'!$A:$A,"&gt;="&amp;J$27,'000'!$A:$A,"&lt;="&amp;J$28)+sumifs('500'!$D:$D,'500'!$B:$B,$D31,'500'!$A:$A,"&gt;="&amp;J$27,'500'!$A:$A,"&lt;="&amp;J$28)+sumifs('300'!$D:$D,'300'!$B:$B,$D31,'300'!$A:$A,"&gt;="&amp;J$27,'300'!$A:$A,"&lt;="&amp;J$28)+sumifs('600.VPA'!$D:$D,'600.VPA'!$B:$B,$D31,'600.VPA'!$A:$A,"&gt;="&amp;J$27,'600.VPA'!$A:$A,"&lt;="&amp;J$28)</f>
        <v>0</v>
      </c>
      <c r="K31" s="104">
        <f>sumifs(Boss!$D:$D,Boss!$B:$B,$D31,Boss!$A:$A,"&gt;="&amp;K$27,Boss!$A:$A,"&lt;="&amp;K$28)+sumifs(VPA.Director!$D:$D,VPA.Director!$B:$B,$D31,VPA.Director!$A:$A,"&gt;="&amp;K$27,VPA.Director!$A:$A,"&lt;="&amp;K$28)+sumifs(ADC.Director!$D:$D,ADC.Director!$B:$B,$D31,ADC.Director!$A:$A,"&gt;="&amp;K$27,ADC.Director!$A:$A,"&lt;="&amp;K$28)+sumifs('000'!$D:$D,'000'!$B:$B,$D31,'000'!$A:$A,"&gt;="&amp;K$27,'000'!$A:$A,"&lt;="&amp;K$28)+sumifs('500'!$D:$D,'500'!$B:$B,$D31,'500'!$A:$A,"&gt;="&amp;K$27,'500'!$A:$A,"&lt;="&amp;K$28)+sumifs('300'!$D:$D,'300'!$B:$B,$D31,'300'!$A:$A,"&gt;="&amp;K$27,'300'!$A:$A,"&lt;="&amp;K$28)+sumifs('600.VPA'!$D:$D,'600.VPA'!$B:$B,$D31,'600.VPA'!$A:$A,"&gt;="&amp;K$27,'600.VPA'!$A:$A,"&lt;="&amp;K$28)</f>
        <v>0</v>
      </c>
      <c r="L31" s="104">
        <f>sumifs(Boss!$D:$D,Boss!$B:$B,$D31,Boss!$A:$A,"&gt;="&amp;L$27,Boss!$A:$A,"&lt;="&amp;L$28)+sumifs(VPA.Director!$D:$D,VPA.Director!$B:$B,$D31,VPA.Director!$A:$A,"&gt;="&amp;L$27,VPA.Director!$A:$A,"&lt;="&amp;L$28)+sumifs(ADC.Director!$D:$D,ADC.Director!$B:$B,$D31,ADC.Director!$A:$A,"&gt;="&amp;L$27,ADC.Director!$A:$A,"&lt;="&amp;L$28)+sumifs('000'!$D:$D,'000'!$B:$B,$D31,'000'!$A:$A,"&gt;="&amp;L$27,'000'!$A:$A,"&lt;="&amp;L$28)+sumifs('500'!$D:$D,'500'!$B:$B,$D31,'500'!$A:$A,"&gt;="&amp;L$27,'500'!$A:$A,"&lt;="&amp;L$28)+sumifs('300'!$D:$D,'300'!$B:$B,$D31,'300'!$A:$A,"&gt;="&amp;L$27,'300'!$A:$A,"&lt;="&amp;L$28)+sumifs('600.VPA'!$D:$D,'600.VPA'!$B:$B,$D31,'600.VPA'!$A:$A,"&gt;="&amp;L$27,'600.VPA'!$A:$A,"&lt;="&amp;L$28)</f>
        <v>0</v>
      </c>
      <c r="M31" s="104">
        <f>sumifs(Boss!$D:$D,Boss!$B:$B,$D31,Boss!$A:$A,"&gt;="&amp;M$27,Boss!$A:$A,"&lt;="&amp;M$28)+sumifs(VPA.Director!$D:$D,VPA.Director!$B:$B,$D31,VPA.Director!$A:$A,"&gt;="&amp;M$27,VPA.Director!$A:$A,"&lt;="&amp;M$28)+sumifs(ADC.Director!$D:$D,ADC.Director!$B:$B,$D31,ADC.Director!$A:$A,"&gt;="&amp;M$27,ADC.Director!$A:$A,"&lt;="&amp;M$28)+sumifs('000'!$D:$D,'000'!$B:$B,$D31,'000'!$A:$A,"&gt;="&amp;M$27,'000'!$A:$A,"&lt;="&amp;M$28)+sumifs('500'!$D:$D,'500'!$B:$B,$D31,'500'!$A:$A,"&gt;="&amp;M$27,'500'!$A:$A,"&lt;="&amp;M$28)+sumifs('300'!$D:$D,'300'!$B:$B,$D31,'300'!$A:$A,"&gt;="&amp;M$27,'300'!$A:$A,"&lt;="&amp;M$28)+sumifs('600.VPA'!$D:$D,'600.VPA'!$B:$B,$D31,'600.VPA'!$A:$A,"&gt;="&amp;M$27,'600.VPA'!$A:$A,"&lt;="&amp;M$28)</f>
        <v>0</v>
      </c>
      <c r="N31" s="104">
        <f>sumifs(Boss!$D:$D,Boss!$B:$B,$D31,Boss!$A:$A,"&gt;="&amp;N$27,Boss!$A:$A,"&lt;="&amp;N$28)+sumifs(VPA.Director!$D:$D,VPA.Director!$B:$B,$D31,VPA.Director!$A:$A,"&gt;="&amp;N$27,VPA.Director!$A:$A,"&lt;="&amp;N$28)+sumifs(ADC.Director!$D:$D,ADC.Director!$B:$B,$D31,ADC.Director!$A:$A,"&gt;="&amp;N$27,ADC.Director!$A:$A,"&lt;="&amp;N$28)+sumifs('000'!$D:$D,'000'!$B:$B,$D31,'000'!$A:$A,"&gt;="&amp;N$27,'000'!$A:$A,"&lt;="&amp;N$28)+sumifs('500'!$D:$D,'500'!$B:$B,$D31,'500'!$A:$A,"&gt;="&amp;N$27,'500'!$A:$A,"&lt;="&amp;N$28)+sumifs('300'!$D:$D,'300'!$B:$B,$D31,'300'!$A:$A,"&gt;="&amp;N$27,'300'!$A:$A,"&lt;="&amp;N$28)+sumifs('600.VPA'!$D:$D,'600.VPA'!$B:$B,$D31,'600.VPA'!$A:$A,"&gt;="&amp;N$27,'600.VPA'!$A:$A,"&lt;="&amp;N$28)</f>
        <v>0</v>
      </c>
      <c r="O31" s="104">
        <f>sumifs(Boss!$D:$D,Boss!$B:$B,$D31,Boss!$A:$A,"&gt;="&amp;O$27,Boss!$A:$A,"&lt;="&amp;O$28)+sumifs(VPA.Director!$D:$D,VPA.Director!$B:$B,$D31,VPA.Director!$A:$A,"&gt;="&amp;O$27,VPA.Director!$A:$A,"&lt;="&amp;O$28)+sumifs(ADC.Director!$D:$D,ADC.Director!$B:$B,$D31,ADC.Director!$A:$A,"&gt;="&amp;O$27,ADC.Director!$A:$A,"&lt;="&amp;O$28)+sumifs('000'!$D:$D,'000'!$B:$B,$D31,'000'!$A:$A,"&gt;="&amp;O$27,'000'!$A:$A,"&lt;="&amp;O$28)+sumifs('500'!$D:$D,'500'!$B:$B,$D31,'500'!$A:$A,"&gt;="&amp;O$27,'500'!$A:$A,"&lt;="&amp;O$28)+sumifs('300'!$D:$D,'300'!$B:$B,$D31,'300'!$A:$A,"&gt;="&amp;O$27,'300'!$A:$A,"&lt;="&amp;O$28)+sumifs('600.VPA'!$D:$D,'600.VPA'!$B:$B,$D31,'600.VPA'!$A:$A,"&gt;="&amp;O$27,'600.VPA'!$A:$A,"&lt;="&amp;O$28)</f>
        <v>0</v>
      </c>
      <c r="P31" s="104">
        <f>sumifs(Boss!$D:$D,Boss!$B:$B,$D31,Boss!$A:$A,"&gt;="&amp;P$27,Boss!$A:$A,"&lt;="&amp;P$28)+sumifs(VPA.Director!$D:$D,VPA.Director!$B:$B,$D31,VPA.Director!$A:$A,"&gt;="&amp;P$27,VPA.Director!$A:$A,"&lt;="&amp;P$28)+sumifs(ADC.Director!$D:$D,ADC.Director!$B:$B,$D31,ADC.Director!$A:$A,"&gt;="&amp;P$27,ADC.Director!$A:$A,"&lt;="&amp;P$28)+sumifs('000'!$D:$D,'000'!$B:$B,$D31,'000'!$A:$A,"&gt;="&amp;P$27,'000'!$A:$A,"&lt;="&amp;P$28)+sumifs('500'!$D:$D,'500'!$B:$B,$D31,'500'!$A:$A,"&gt;="&amp;P$27,'500'!$A:$A,"&lt;="&amp;P$28)+sumifs('300'!$D:$D,'300'!$B:$B,$D31,'300'!$A:$A,"&gt;="&amp;P$27,'300'!$A:$A,"&lt;="&amp;P$28)+sumifs('600.VPA'!$D:$D,'600.VPA'!$B:$B,$D31,'600.VPA'!$A:$A,"&gt;="&amp;P$27,'600.VPA'!$A:$A,"&lt;="&amp;P$28)</f>
        <v>0</v>
      </c>
      <c r="Q31" s="104">
        <f>sumifs(Boss!$D:$D,Boss!$B:$B,$D31,Boss!$A:$A,"&gt;="&amp;Q$27,Boss!$A:$A,"&lt;="&amp;Q$28)+sumifs(VPA.Director!$D:$D,VPA.Director!$B:$B,$D31,VPA.Director!$A:$A,"&gt;="&amp;Q$27,VPA.Director!$A:$A,"&lt;="&amp;Q$28)+sumifs(ADC.Director!$D:$D,ADC.Director!$B:$B,$D31,ADC.Director!$A:$A,"&gt;="&amp;Q$27,ADC.Director!$A:$A,"&lt;="&amp;Q$28)+sumifs('000'!$D:$D,'000'!$B:$B,$D31,'000'!$A:$A,"&gt;="&amp;Q$27,'000'!$A:$A,"&lt;="&amp;Q$28)+sumifs('500'!$D:$D,'500'!$B:$B,$D31,'500'!$A:$A,"&gt;="&amp;Q$27,'500'!$A:$A,"&lt;="&amp;Q$28)+sumifs('300'!$D:$D,'300'!$B:$B,$D31,'300'!$A:$A,"&gt;="&amp;Q$27,'300'!$A:$A,"&lt;="&amp;Q$28)+sumifs('600.VPA'!$D:$D,'600.VPA'!$B:$B,$D31,'600.VPA'!$A:$A,"&gt;="&amp;Q$27,'600.VPA'!$A:$A,"&lt;="&amp;Q$28)</f>
        <v>0</v>
      </c>
      <c r="R31" s="104">
        <f>sumifs(Boss!$D:$D,Boss!$B:$B,$D31,Boss!$A:$A,"&gt;="&amp;R$27,Boss!$A:$A,"&lt;="&amp;R$28)+sumifs(VPA.Director!$D:$D,VPA.Director!$B:$B,$D31,VPA.Director!$A:$A,"&gt;="&amp;R$27,VPA.Director!$A:$A,"&lt;="&amp;R$28)+sumifs(ADC.Director!$D:$D,ADC.Director!$B:$B,$D31,ADC.Director!$A:$A,"&gt;="&amp;R$27,ADC.Director!$A:$A,"&lt;="&amp;R$28)+sumifs('000'!$D:$D,'000'!$B:$B,$D31,'000'!$A:$A,"&gt;="&amp;R$27,'000'!$A:$A,"&lt;="&amp;R$28)+sumifs('500'!$D:$D,'500'!$B:$B,$D31,'500'!$A:$A,"&gt;="&amp;R$27,'500'!$A:$A,"&lt;="&amp;R$28)+sumifs('300'!$D:$D,'300'!$B:$B,$D31,'300'!$A:$A,"&gt;="&amp;R$27,'300'!$A:$A,"&lt;="&amp;R$28)+sumifs('600.VPA'!$D:$D,'600.VPA'!$B:$B,$D31,'600.VPA'!$A:$A,"&gt;="&amp;R$27,'600.VPA'!$A:$A,"&lt;="&amp;R$28)</f>
        <v>0</v>
      </c>
      <c r="S31" s="104">
        <f>sumifs(Boss!$D:$D,Boss!$B:$B,$D31,Boss!$A:$A,"&gt;="&amp;S$27,Boss!$A:$A,"&lt;="&amp;S$28)+sumifs(VPA.Director!$D:$D,VPA.Director!$B:$B,$D31,VPA.Director!$A:$A,"&gt;="&amp;S$27,VPA.Director!$A:$A,"&lt;="&amp;S$28)+sumifs(ADC.Director!$D:$D,ADC.Director!$B:$B,$D31,ADC.Director!$A:$A,"&gt;="&amp;S$27,ADC.Director!$A:$A,"&lt;="&amp;S$28)+sumifs('000'!$D:$D,'000'!$B:$B,$D31,'000'!$A:$A,"&gt;="&amp;S$27,'000'!$A:$A,"&lt;="&amp;S$28)+sumifs('500'!$D:$D,'500'!$B:$B,$D31,'500'!$A:$A,"&gt;="&amp;S$27,'500'!$A:$A,"&lt;="&amp;S$28)+sumifs('300'!$D:$D,'300'!$B:$B,$D31,'300'!$A:$A,"&gt;="&amp;S$27,'300'!$A:$A,"&lt;="&amp;S$28)+sumifs('600.VPA'!$D:$D,'600.VPA'!$B:$B,$D31,'600.VPA'!$A:$A,"&gt;="&amp;S$27,'600.VPA'!$A:$A,"&lt;="&amp;S$28)</f>
        <v>0</v>
      </c>
      <c r="T31" s="104">
        <f>sumifs(Boss!$D:$D,Boss!$B:$B,$D31,Boss!$A:$A,"&gt;="&amp;T$27,Boss!$A:$A,"&lt;="&amp;T$28)+sumifs(VPA.Director!$D:$D,VPA.Director!$B:$B,$D31,VPA.Director!$A:$A,"&gt;="&amp;T$27,VPA.Director!$A:$A,"&lt;="&amp;T$28)+sumifs(ADC.Director!$D:$D,ADC.Director!$B:$B,$D31,ADC.Director!$A:$A,"&gt;="&amp;T$27,ADC.Director!$A:$A,"&lt;="&amp;T$28)+sumifs('000'!$D:$D,'000'!$B:$B,$D31,'000'!$A:$A,"&gt;="&amp;T$27,'000'!$A:$A,"&lt;="&amp;T$28)+sumifs('500'!$D:$D,'500'!$B:$B,$D31,'500'!$A:$A,"&gt;="&amp;T$27,'500'!$A:$A,"&lt;="&amp;T$28)+sumifs('300'!$D:$D,'300'!$B:$B,$D31,'300'!$A:$A,"&gt;="&amp;T$27,'300'!$A:$A,"&lt;="&amp;T$28)+sumifs('600.VPA'!$D:$D,'600.VPA'!$B:$B,$D31,'600.VPA'!$A:$A,"&gt;="&amp;T$27,'600.VPA'!$A:$A,"&lt;="&amp;T$28)</f>
        <v>0</v>
      </c>
      <c r="U31" s="86"/>
      <c r="V31" s="105">
        <f t="shared" si="1"/>
        <v>0</v>
      </c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7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</row>
    <row r="32" hidden="1">
      <c r="A32" s="86"/>
      <c r="B32" s="100"/>
      <c r="D32" s="102" t="s">
        <v>50</v>
      </c>
      <c r="E32" s="103" t="s">
        <v>6</v>
      </c>
      <c r="F32" s="102" t="s">
        <v>51</v>
      </c>
      <c r="G32" s="102" t="s">
        <v>52</v>
      </c>
      <c r="H32" s="102" t="s">
        <v>49</v>
      </c>
      <c r="I32" s="104">
        <f>sumifs(Boss!$D:$D,Boss!$B:$B,$D32,Boss!$A:$A,"&gt;="&amp;I$27,Boss!$A:$A,"&lt;="&amp;I$28)+sumifs(VPA.Director!$D:$D,VPA.Director!$B:$B,$D32,VPA.Director!$A:$A,"&gt;="&amp;I$27,VPA.Director!$A:$A,"&lt;="&amp;I$28)+sumifs(ADC.Director!$D:$D,ADC.Director!$B:$B,$D32,ADC.Director!$A:$A,"&gt;="&amp;I$27,ADC.Director!$A:$A,"&lt;="&amp;I$28)+sumifs('000'!$D:$D,'000'!$B:$B,$D32,'000'!$A:$A,"&gt;="&amp;I$27,'000'!$A:$A,"&lt;="&amp;I$28)+sumifs('500'!$D:$D,'500'!$B:$B,$D32,'500'!$A:$A,"&gt;="&amp;I$27,'500'!$A:$A,"&lt;="&amp;I$28)+sumifs('300'!$D:$D,'300'!$B:$B,$D32,'300'!$A:$A,"&gt;="&amp;I$27,'300'!$A:$A,"&lt;="&amp;I$28)+sumifs('600.VPA'!$D:$D,'600.VPA'!$B:$B,$D32,'600.VPA'!$A:$A,"&gt;="&amp;I$27,'600.VPA'!$A:$A,"&lt;="&amp;I$28)</f>
        <v>0</v>
      </c>
      <c r="J32" s="104">
        <f>sumifs(Boss!$D:$D,Boss!$B:$B,$D32,Boss!$A:$A,"&gt;="&amp;J$27,Boss!$A:$A,"&lt;="&amp;J$28)+sumifs(VPA.Director!$D:$D,VPA.Director!$B:$B,$D32,VPA.Director!$A:$A,"&gt;="&amp;J$27,VPA.Director!$A:$A,"&lt;="&amp;J$28)+sumifs(ADC.Director!$D:$D,ADC.Director!$B:$B,$D32,ADC.Director!$A:$A,"&gt;="&amp;J$27,ADC.Director!$A:$A,"&lt;="&amp;J$28)+sumifs('000'!$D:$D,'000'!$B:$B,$D32,'000'!$A:$A,"&gt;="&amp;J$27,'000'!$A:$A,"&lt;="&amp;J$28)+sumifs('500'!$D:$D,'500'!$B:$B,$D32,'500'!$A:$A,"&gt;="&amp;J$27,'500'!$A:$A,"&lt;="&amp;J$28)+sumifs('300'!$D:$D,'300'!$B:$B,$D32,'300'!$A:$A,"&gt;="&amp;J$27,'300'!$A:$A,"&lt;="&amp;J$28)+sumifs('600.VPA'!$D:$D,'600.VPA'!$B:$B,$D32,'600.VPA'!$A:$A,"&gt;="&amp;J$27,'600.VPA'!$A:$A,"&lt;="&amp;J$28)</f>
        <v>0</v>
      </c>
      <c r="K32" s="104">
        <f>sumifs(Boss!$D:$D,Boss!$B:$B,$D32,Boss!$A:$A,"&gt;="&amp;K$27,Boss!$A:$A,"&lt;="&amp;K$28)+sumifs(VPA.Director!$D:$D,VPA.Director!$B:$B,$D32,VPA.Director!$A:$A,"&gt;="&amp;K$27,VPA.Director!$A:$A,"&lt;="&amp;K$28)+sumifs(ADC.Director!$D:$D,ADC.Director!$B:$B,$D32,ADC.Director!$A:$A,"&gt;="&amp;K$27,ADC.Director!$A:$A,"&lt;="&amp;K$28)+sumifs('000'!$D:$D,'000'!$B:$B,$D32,'000'!$A:$A,"&gt;="&amp;K$27,'000'!$A:$A,"&lt;="&amp;K$28)+sumifs('500'!$D:$D,'500'!$B:$B,$D32,'500'!$A:$A,"&gt;="&amp;K$27,'500'!$A:$A,"&lt;="&amp;K$28)+sumifs('300'!$D:$D,'300'!$B:$B,$D32,'300'!$A:$A,"&gt;="&amp;K$27,'300'!$A:$A,"&lt;="&amp;K$28)+sumifs('600.VPA'!$D:$D,'600.VPA'!$B:$B,$D32,'600.VPA'!$A:$A,"&gt;="&amp;K$27,'600.VPA'!$A:$A,"&lt;="&amp;K$28)</f>
        <v>0</v>
      </c>
      <c r="L32" s="104">
        <f>sumifs(Boss!$D:$D,Boss!$B:$B,$D32,Boss!$A:$A,"&gt;="&amp;L$27,Boss!$A:$A,"&lt;="&amp;L$28)+sumifs(VPA.Director!$D:$D,VPA.Director!$B:$B,$D32,VPA.Director!$A:$A,"&gt;="&amp;L$27,VPA.Director!$A:$A,"&lt;="&amp;L$28)+sumifs(ADC.Director!$D:$D,ADC.Director!$B:$B,$D32,ADC.Director!$A:$A,"&gt;="&amp;L$27,ADC.Director!$A:$A,"&lt;="&amp;L$28)+sumifs('000'!$D:$D,'000'!$B:$B,$D32,'000'!$A:$A,"&gt;="&amp;L$27,'000'!$A:$A,"&lt;="&amp;L$28)+sumifs('500'!$D:$D,'500'!$B:$B,$D32,'500'!$A:$A,"&gt;="&amp;L$27,'500'!$A:$A,"&lt;="&amp;L$28)+sumifs('300'!$D:$D,'300'!$B:$B,$D32,'300'!$A:$A,"&gt;="&amp;L$27,'300'!$A:$A,"&lt;="&amp;L$28)+sumifs('600.VPA'!$D:$D,'600.VPA'!$B:$B,$D32,'600.VPA'!$A:$A,"&gt;="&amp;L$27,'600.VPA'!$A:$A,"&lt;="&amp;L$28)</f>
        <v>0</v>
      </c>
      <c r="M32" s="104">
        <f>sumifs(Boss!$D:$D,Boss!$B:$B,$D32,Boss!$A:$A,"&gt;="&amp;M$27,Boss!$A:$A,"&lt;="&amp;M$28)+sumifs(VPA.Director!$D:$D,VPA.Director!$B:$B,$D32,VPA.Director!$A:$A,"&gt;="&amp;M$27,VPA.Director!$A:$A,"&lt;="&amp;M$28)+sumifs(ADC.Director!$D:$D,ADC.Director!$B:$B,$D32,ADC.Director!$A:$A,"&gt;="&amp;M$27,ADC.Director!$A:$A,"&lt;="&amp;M$28)+sumifs('000'!$D:$D,'000'!$B:$B,$D32,'000'!$A:$A,"&gt;="&amp;M$27,'000'!$A:$A,"&lt;="&amp;M$28)+sumifs('500'!$D:$D,'500'!$B:$B,$D32,'500'!$A:$A,"&gt;="&amp;M$27,'500'!$A:$A,"&lt;="&amp;M$28)+sumifs('300'!$D:$D,'300'!$B:$B,$D32,'300'!$A:$A,"&gt;="&amp;M$27,'300'!$A:$A,"&lt;="&amp;M$28)+sumifs('600.VPA'!$D:$D,'600.VPA'!$B:$B,$D32,'600.VPA'!$A:$A,"&gt;="&amp;M$27,'600.VPA'!$A:$A,"&lt;="&amp;M$28)</f>
        <v>0</v>
      </c>
      <c r="N32" s="104">
        <f>sumifs(Boss!$D:$D,Boss!$B:$B,$D32,Boss!$A:$A,"&gt;="&amp;N$27,Boss!$A:$A,"&lt;="&amp;N$28)+sumifs(VPA.Director!$D:$D,VPA.Director!$B:$B,$D32,VPA.Director!$A:$A,"&gt;="&amp;N$27,VPA.Director!$A:$A,"&lt;="&amp;N$28)+sumifs(ADC.Director!$D:$D,ADC.Director!$B:$B,$D32,ADC.Director!$A:$A,"&gt;="&amp;N$27,ADC.Director!$A:$A,"&lt;="&amp;N$28)+sumifs('000'!$D:$D,'000'!$B:$B,$D32,'000'!$A:$A,"&gt;="&amp;N$27,'000'!$A:$A,"&lt;="&amp;N$28)+sumifs('500'!$D:$D,'500'!$B:$B,$D32,'500'!$A:$A,"&gt;="&amp;N$27,'500'!$A:$A,"&lt;="&amp;N$28)+sumifs('300'!$D:$D,'300'!$B:$B,$D32,'300'!$A:$A,"&gt;="&amp;N$27,'300'!$A:$A,"&lt;="&amp;N$28)+sumifs('600.VPA'!$D:$D,'600.VPA'!$B:$B,$D32,'600.VPA'!$A:$A,"&gt;="&amp;N$27,'600.VPA'!$A:$A,"&lt;="&amp;N$28)</f>
        <v>0</v>
      </c>
      <c r="O32" s="104">
        <f>sumifs(Boss!$D:$D,Boss!$B:$B,$D32,Boss!$A:$A,"&gt;="&amp;O$27,Boss!$A:$A,"&lt;="&amp;O$28)+sumifs(VPA.Director!$D:$D,VPA.Director!$B:$B,$D32,VPA.Director!$A:$A,"&gt;="&amp;O$27,VPA.Director!$A:$A,"&lt;="&amp;O$28)+sumifs(ADC.Director!$D:$D,ADC.Director!$B:$B,$D32,ADC.Director!$A:$A,"&gt;="&amp;O$27,ADC.Director!$A:$A,"&lt;="&amp;O$28)+sumifs('000'!$D:$D,'000'!$B:$B,$D32,'000'!$A:$A,"&gt;="&amp;O$27,'000'!$A:$A,"&lt;="&amp;O$28)+sumifs('500'!$D:$D,'500'!$B:$B,$D32,'500'!$A:$A,"&gt;="&amp;O$27,'500'!$A:$A,"&lt;="&amp;O$28)+sumifs('300'!$D:$D,'300'!$B:$B,$D32,'300'!$A:$A,"&gt;="&amp;O$27,'300'!$A:$A,"&lt;="&amp;O$28)+sumifs('600.VPA'!$D:$D,'600.VPA'!$B:$B,$D32,'600.VPA'!$A:$A,"&gt;="&amp;O$27,'600.VPA'!$A:$A,"&lt;="&amp;O$28)</f>
        <v>0</v>
      </c>
      <c r="P32" s="104">
        <f>sumifs(Boss!$D:$D,Boss!$B:$B,$D32,Boss!$A:$A,"&gt;="&amp;P$27,Boss!$A:$A,"&lt;="&amp;P$28)+sumifs(VPA.Director!$D:$D,VPA.Director!$B:$B,$D32,VPA.Director!$A:$A,"&gt;="&amp;P$27,VPA.Director!$A:$A,"&lt;="&amp;P$28)+sumifs(ADC.Director!$D:$D,ADC.Director!$B:$B,$D32,ADC.Director!$A:$A,"&gt;="&amp;P$27,ADC.Director!$A:$A,"&lt;="&amp;P$28)+sumifs('000'!$D:$D,'000'!$B:$B,$D32,'000'!$A:$A,"&gt;="&amp;P$27,'000'!$A:$A,"&lt;="&amp;P$28)+sumifs('500'!$D:$D,'500'!$B:$B,$D32,'500'!$A:$A,"&gt;="&amp;P$27,'500'!$A:$A,"&lt;="&amp;P$28)+sumifs('300'!$D:$D,'300'!$B:$B,$D32,'300'!$A:$A,"&gt;="&amp;P$27,'300'!$A:$A,"&lt;="&amp;P$28)+sumifs('600.VPA'!$D:$D,'600.VPA'!$B:$B,$D32,'600.VPA'!$A:$A,"&gt;="&amp;P$27,'600.VPA'!$A:$A,"&lt;="&amp;P$28)</f>
        <v>0</v>
      </c>
      <c r="Q32" s="104">
        <f>sumifs(Boss!$D:$D,Boss!$B:$B,$D32,Boss!$A:$A,"&gt;="&amp;Q$27,Boss!$A:$A,"&lt;="&amp;Q$28)+sumifs(VPA.Director!$D:$D,VPA.Director!$B:$B,$D32,VPA.Director!$A:$A,"&gt;="&amp;Q$27,VPA.Director!$A:$A,"&lt;="&amp;Q$28)+sumifs(ADC.Director!$D:$D,ADC.Director!$B:$B,$D32,ADC.Director!$A:$A,"&gt;="&amp;Q$27,ADC.Director!$A:$A,"&lt;="&amp;Q$28)+sumifs('000'!$D:$D,'000'!$B:$B,$D32,'000'!$A:$A,"&gt;="&amp;Q$27,'000'!$A:$A,"&lt;="&amp;Q$28)+sumifs('500'!$D:$D,'500'!$B:$B,$D32,'500'!$A:$A,"&gt;="&amp;Q$27,'500'!$A:$A,"&lt;="&amp;Q$28)+sumifs('300'!$D:$D,'300'!$B:$B,$D32,'300'!$A:$A,"&gt;="&amp;Q$27,'300'!$A:$A,"&lt;="&amp;Q$28)+sumifs('600.VPA'!$D:$D,'600.VPA'!$B:$B,$D32,'600.VPA'!$A:$A,"&gt;="&amp;Q$27,'600.VPA'!$A:$A,"&lt;="&amp;Q$28)</f>
        <v>0</v>
      </c>
      <c r="R32" s="104">
        <f>sumifs(Boss!$D:$D,Boss!$B:$B,$D32,Boss!$A:$A,"&gt;="&amp;R$27,Boss!$A:$A,"&lt;="&amp;R$28)+sumifs(VPA.Director!$D:$D,VPA.Director!$B:$B,$D32,VPA.Director!$A:$A,"&gt;="&amp;R$27,VPA.Director!$A:$A,"&lt;="&amp;R$28)+sumifs(ADC.Director!$D:$D,ADC.Director!$B:$B,$D32,ADC.Director!$A:$A,"&gt;="&amp;R$27,ADC.Director!$A:$A,"&lt;="&amp;R$28)+sumifs('000'!$D:$D,'000'!$B:$B,$D32,'000'!$A:$A,"&gt;="&amp;R$27,'000'!$A:$A,"&lt;="&amp;R$28)+sumifs('500'!$D:$D,'500'!$B:$B,$D32,'500'!$A:$A,"&gt;="&amp;R$27,'500'!$A:$A,"&lt;="&amp;R$28)+sumifs('300'!$D:$D,'300'!$B:$B,$D32,'300'!$A:$A,"&gt;="&amp;R$27,'300'!$A:$A,"&lt;="&amp;R$28)+sumifs('600.VPA'!$D:$D,'600.VPA'!$B:$B,$D32,'600.VPA'!$A:$A,"&gt;="&amp;R$27,'600.VPA'!$A:$A,"&lt;="&amp;R$28)</f>
        <v>0</v>
      </c>
      <c r="S32" s="104">
        <f>sumifs(Boss!$D:$D,Boss!$B:$B,$D32,Boss!$A:$A,"&gt;="&amp;S$27,Boss!$A:$A,"&lt;="&amp;S$28)+sumifs(VPA.Director!$D:$D,VPA.Director!$B:$B,$D32,VPA.Director!$A:$A,"&gt;="&amp;S$27,VPA.Director!$A:$A,"&lt;="&amp;S$28)+sumifs(ADC.Director!$D:$D,ADC.Director!$B:$B,$D32,ADC.Director!$A:$A,"&gt;="&amp;S$27,ADC.Director!$A:$A,"&lt;="&amp;S$28)+sumifs('000'!$D:$D,'000'!$B:$B,$D32,'000'!$A:$A,"&gt;="&amp;S$27,'000'!$A:$A,"&lt;="&amp;S$28)+sumifs('500'!$D:$D,'500'!$B:$B,$D32,'500'!$A:$A,"&gt;="&amp;S$27,'500'!$A:$A,"&lt;="&amp;S$28)+sumifs('300'!$D:$D,'300'!$B:$B,$D32,'300'!$A:$A,"&gt;="&amp;S$27,'300'!$A:$A,"&lt;="&amp;S$28)+sumifs('600.VPA'!$D:$D,'600.VPA'!$B:$B,$D32,'600.VPA'!$A:$A,"&gt;="&amp;S$27,'600.VPA'!$A:$A,"&lt;="&amp;S$28)</f>
        <v>0</v>
      </c>
      <c r="T32" s="104">
        <f>sumifs(Boss!$D:$D,Boss!$B:$B,$D32,Boss!$A:$A,"&gt;="&amp;T$27,Boss!$A:$A,"&lt;="&amp;T$28)+sumifs(VPA.Director!$D:$D,VPA.Director!$B:$B,$D32,VPA.Director!$A:$A,"&gt;="&amp;T$27,VPA.Director!$A:$A,"&lt;="&amp;T$28)+sumifs(ADC.Director!$D:$D,ADC.Director!$B:$B,$D32,ADC.Director!$A:$A,"&gt;="&amp;T$27,ADC.Director!$A:$A,"&lt;="&amp;T$28)+sumifs('000'!$D:$D,'000'!$B:$B,$D32,'000'!$A:$A,"&gt;="&amp;T$27,'000'!$A:$A,"&lt;="&amp;T$28)+sumifs('500'!$D:$D,'500'!$B:$B,$D32,'500'!$A:$A,"&gt;="&amp;T$27,'500'!$A:$A,"&lt;="&amp;T$28)+sumifs('300'!$D:$D,'300'!$B:$B,$D32,'300'!$A:$A,"&gt;="&amp;T$27,'300'!$A:$A,"&lt;="&amp;T$28)+sumifs('600.VPA'!$D:$D,'600.VPA'!$B:$B,$D32,'600.VPA'!$A:$A,"&gt;="&amp;T$27,'600.VPA'!$A:$A,"&lt;="&amp;T$28)</f>
        <v>0</v>
      </c>
      <c r="U32" s="86"/>
      <c r="V32" s="105">
        <f t="shared" si="1"/>
        <v>0</v>
      </c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7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</row>
    <row r="33" hidden="1">
      <c r="A33" s="86"/>
      <c r="B33" s="100"/>
      <c r="D33" s="102" t="s">
        <v>53</v>
      </c>
      <c r="E33" s="103" t="s">
        <v>7</v>
      </c>
      <c r="F33" s="102" t="s">
        <v>54</v>
      </c>
      <c r="G33" s="102" t="s">
        <v>55</v>
      </c>
      <c r="H33" s="102" t="s">
        <v>42</v>
      </c>
      <c r="I33" s="104">
        <f>sumifs(Boss!$D:$D,Boss!$B:$B,$D33,Boss!$A:$A,"&gt;="&amp;I$27,Boss!$A:$A,"&lt;="&amp;I$28)+sumifs(VPA.Director!$D:$D,VPA.Director!$B:$B,$D33,VPA.Director!$A:$A,"&gt;="&amp;I$27,VPA.Director!$A:$A,"&lt;="&amp;I$28)+sumifs(ADC.Director!$D:$D,ADC.Director!$B:$B,$D33,ADC.Director!$A:$A,"&gt;="&amp;I$27,ADC.Director!$A:$A,"&lt;="&amp;I$28)+sumifs('000'!$D:$D,'000'!$B:$B,$D33,'000'!$A:$A,"&gt;="&amp;I$27,'000'!$A:$A,"&lt;="&amp;I$28)+sumifs('500'!$D:$D,'500'!$B:$B,$D33,'500'!$A:$A,"&gt;="&amp;I$27,'500'!$A:$A,"&lt;="&amp;I$28)+sumifs('300'!$D:$D,'300'!$B:$B,$D33,'300'!$A:$A,"&gt;="&amp;I$27,'300'!$A:$A,"&lt;="&amp;I$28)+sumifs('600.VPA'!$D:$D,'600.VPA'!$B:$B,$D33,'600.VPA'!$A:$A,"&gt;="&amp;I$27,'600.VPA'!$A:$A,"&lt;="&amp;I$28)</f>
        <v>0</v>
      </c>
      <c r="J33" s="104">
        <f>sumifs(Boss!$D:$D,Boss!$B:$B,$D33,Boss!$A:$A,"&gt;="&amp;J$27,Boss!$A:$A,"&lt;="&amp;J$28)+sumifs(VPA.Director!$D:$D,VPA.Director!$B:$B,$D33,VPA.Director!$A:$A,"&gt;="&amp;J$27,VPA.Director!$A:$A,"&lt;="&amp;J$28)+sumifs(ADC.Director!$D:$D,ADC.Director!$B:$B,$D33,ADC.Director!$A:$A,"&gt;="&amp;J$27,ADC.Director!$A:$A,"&lt;="&amp;J$28)+sumifs('000'!$D:$D,'000'!$B:$B,$D33,'000'!$A:$A,"&gt;="&amp;J$27,'000'!$A:$A,"&lt;="&amp;J$28)+sumifs('500'!$D:$D,'500'!$B:$B,$D33,'500'!$A:$A,"&gt;="&amp;J$27,'500'!$A:$A,"&lt;="&amp;J$28)+sumifs('300'!$D:$D,'300'!$B:$B,$D33,'300'!$A:$A,"&gt;="&amp;J$27,'300'!$A:$A,"&lt;="&amp;J$28)+sumifs('600.VPA'!$D:$D,'600.VPA'!$B:$B,$D33,'600.VPA'!$A:$A,"&gt;="&amp;J$27,'600.VPA'!$A:$A,"&lt;="&amp;J$28)</f>
        <v>0</v>
      </c>
      <c r="K33" s="104">
        <f>sumifs(Boss!$D:$D,Boss!$B:$B,$D33,Boss!$A:$A,"&gt;="&amp;K$27,Boss!$A:$A,"&lt;="&amp;K$28)+sumifs(VPA.Director!$D:$D,VPA.Director!$B:$B,$D33,VPA.Director!$A:$A,"&gt;="&amp;K$27,VPA.Director!$A:$A,"&lt;="&amp;K$28)+sumifs(ADC.Director!$D:$D,ADC.Director!$B:$B,$D33,ADC.Director!$A:$A,"&gt;="&amp;K$27,ADC.Director!$A:$A,"&lt;="&amp;K$28)+sumifs('000'!$D:$D,'000'!$B:$B,$D33,'000'!$A:$A,"&gt;="&amp;K$27,'000'!$A:$A,"&lt;="&amp;K$28)+sumifs('500'!$D:$D,'500'!$B:$B,$D33,'500'!$A:$A,"&gt;="&amp;K$27,'500'!$A:$A,"&lt;="&amp;K$28)+sumifs('300'!$D:$D,'300'!$B:$B,$D33,'300'!$A:$A,"&gt;="&amp;K$27,'300'!$A:$A,"&lt;="&amp;K$28)+sumifs('600.VPA'!$D:$D,'600.VPA'!$B:$B,$D33,'600.VPA'!$A:$A,"&gt;="&amp;K$27,'600.VPA'!$A:$A,"&lt;="&amp;K$28)</f>
        <v>0</v>
      </c>
      <c r="L33" s="104">
        <f>sumifs(Boss!$D:$D,Boss!$B:$B,$D33,Boss!$A:$A,"&gt;="&amp;L$27,Boss!$A:$A,"&lt;="&amp;L$28)+sumifs(VPA.Director!$D:$D,VPA.Director!$B:$B,$D33,VPA.Director!$A:$A,"&gt;="&amp;L$27,VPA.Director!$A:$A,"&lt;="&amp;L$28)+sumifs(ADC.Director!$D:$D,ADC.Director!$B:$B,$D33,ADC.Director!$A:$A,"&gt;="&amp;L$27,ADC.Director!$A:$A,"&lt;="&amp;L$28)+sumifs('000'!$D:$D,'000'!$B:$B,$D33,'000'!$A:$A,"&gt;="&amp;L$27,'000'!$A:$A,"&lt;="&amp;L$28)+sumifs('500'!$D:$D,'500'!$B:$B,$D33,'500'!$A:$A,"&gt;="&amp;L$27,'500'!$A:$A,"&lt;="&amp;L$28)+sumifs('300'!$D:$D,'300'!$B:$B,$D33,'300'!$A:$A,"&gt;="&amp;L$27,'300'!$A:$A,"&lt;="&amp;L$28)+sumifs('600.VPA'!$D:$D,'600.VPA'!$B:$B,$D33,'600.VPA'!$A:$A,"&gt;="&amp;L$27,'600.VPA'!$A:$A,"&lt;="&amp;L$28)</f>
        <v>0</v>
      </c>
      <c r="M33" s="104">
        <f>sumifs(Boss!$D:$D,Boss!$B:$B,$D33,Boss!$A:$A,"&gt;="&amp;M$27,Boss!$A:$A,"&lt;="&amp;M$28)+sumifs(VPA.Director!$D:$D,VPA.Director!$B:$B,$D33,VPA.Director!$A:$A,"&gt;="&amp;M$27,VPA.Director!$A:$A,"&lt;="&amp;M$28)+sumifs(ADC.Director!$D:$D,ADC.Director!$B:$B,$D33,ADC.Director!$A:$A,"&gt;="&amp;M$27,ADC.Director!$A:$A,"&lt;="&amp;M$28)+sumifs('000'!$D:$D,'000'!$B:$B,$D33,'000'!$A:$A,"&gt;="&amp;M$27,'000'!$A:$A,"&lt;="&amp;M$28)+sumifs('500'!$D:$D,'500'!$B:$B,$D33,'500'!$A:$A,"&gt;="&amp;M$27,'500'!$A:$A,"&lt;="&amp;M$28)+sumifs('300'!$D:$D,'300'!$B:$B,$D33,'300'!$A:$A,"&gt;="&amp;M$27,'300'!$A:$A,"&lt;="&amp;M$28)+sumifs('600.VPA'!$D:$D,'600.VPA'!$B:$B,$D33,'600.VPA'!$A:$A,"&gt;="&amp;M$27,'600.VPA'!$A:$A,"&lt;="&amp;M$28)</f>
        <v>0</v>
      </c>
      <c r="N33" s="104">
        <f>sumifs(Boss!$D:$D,Boss!$B:$B,$D33,Boss!$A:$A,"&gt;="&amp;N$27,Boss!$A:$A,"&lt;="&amp;N$28)+sumifs(VPA.Director!$D:$D,VPA.Director!$B:$B,$D33,VPA.Director!$A:$A,"&gt;="&amp;N$27,VPA.Director!$A:$A,"&lt;="&amp;N$28)+sumifs(ADC.Director!$D:$D,ADC.Director!$B:$B,$D33,ADC.Director!$A:$A,"&gt;="&amp;N$27,ADC.Director!$A:$A,"&lt;="&amp;N$28)+sumifs('000'!$D:$D,'000'!$B:$B,$D33,'000'!$A:$A,"&gt;="&amp;N$27,'000'!$A:$A,"&lt;="&amp;N$28)+sumifs('500'!$D:$D,'500'!$B:$B,$D33,'500'!$A:$A,"&gt;="&amp;N$27,'500'!$A:$A,"&lt;="&amp;N$28)+sumifs('300'!$D:$D,'300'!$B:$B,$D33,'300'!$A:$A,"&gt;="&amp;N$27,'300'!$A:$A,"&lt;="&amp;N$28)+sumifs('600.VPA'!$D:$D,'600.VPA'!$B:$B,$D33,'600.VPA'!$A:$A,"&gt;="&amp;N$27,'600.VPA'!$A:$A,"&lt;="&amp;N$28)</f>
        <v>0</v>
      </c>
      <c r="O33" s="104">
        <f>sumifs(Boss!$D:$D,Boss!$B:$B,$D33,Boss!$A:$A,"&gt;="&amp;O$27,Boss!$A:$A,"&lt;="&amp;O$28)+sumifs(VPA.Director!$D:$D,VPA.Director!$B:$B,$D33,VPA.Director!$A:$A,"&gt;="&amp;O$27,VPA.Director!$A:$A,"&lt;="&amp;O$28)+sumifs(ADC.Director!$D:$D,ADC.Director!$B:$B,$D33,ADC.Director!$A:$A,"&gt;="&amp;O$27,ADC.Director!$A:$A,"&lt;="&amp;O$28)+sumifs('000'!$D:$D,'000'!$B:$B,$D33,'000'!$A:$A,"&gt;="&amp;O$27,'000'!$A:$A,"&lt;="&amp;O$28)+sumifs('500'!$D:$D,'500'!$B:$B,$D33,'500'!$A:$A,"&gt;="&amp;O$27,'500'!$A:$A,"&lt;="&amp;O$28)+sumifs('300'!$D:$D,'300'!$B:$B,$D33,'300'!$A:$A,"&gt;="&amp;O$27,'300'!$A:$A,"&lt;="&amp;O$28)+sumifs('600.VPA'!$D:$D,'600.VPA'!$B:$B,$D33,'600.VPA'!$A:$A,"&gt;="&amp;O$27,'600.VPA'!$A:$A,"&lt;="&amp;O$28)</f>
        <v>0</v>
      </c>
      <c r="P33" s="104">
        <f>sumifs(Boss!$D:$D,Boss!$B:$B,$D33,Boss!$A:$A,"&gt;="&amp;P$27,Boss!$A:$A,"&lt;="&amp;P$28)+sumifs(VPA.Director!$D:$D,VPA.Director!$B:$B,$D33,VPA.Director!$A:$A,"&gt;="&amp;P$27,VPA.Director!$A:$A,"&lt;="&amp;P$28)+sumifs(ADC.Director!$D:$D,ADC.Director!$B:$B,$D33,ADC.Director!$A:$A,"&gt;="&amp;P$27,ADC.Director!$A:$A,"&lt;="&amp;P$28)+sumifs('000'!$D:$D,'000'!$B:$B,$D33,'000'!$A:$A,"&gt;="&amp;P$27,'000'!$A:$A,"&lt;="&amp;P$28)+sumifs('500'!$D:$D,'500'!$B:$B,$D33,'500'!$A:$A,"&gt;="&amp;P$27,'500'!$A:$A,"&lt;="&amp;P$28)+sumifs('300'!$D:$D,'300'!$B:$B,$D33,'300'!$A:$A,"&gt;="&amp;P$27,'300'!$A:$A,"&lt;="&amp;P$28)+sumifs('600.VPA'!$D:$D,'600.VPA'!$B:$B,$D33,'600.VPA'!$A:$A,"&gt;="&amp;P$27,'600.VPA'!$A:$A,"&lt;="&amp;P$28)</f>
        <v>0</v>
      </c>
      <c r="Q33" s="104">
        <f>sumifs(Boss!$D:$D,Boss!$B:$B,$D33,Boss!$A:$A,"&gt;="&amp;Q$27,Boss!$A:$A,"&lt;="&amp;Q$28)+sumifs(VPA.Director!$D:$D,VPA.Director!$B:$B,$D33,VPA.Director!$A:$A,"&gt;="&amp;Q$27,VPA.Director!$A:$A,"&lt;="&amp;Q$28)+sumifs(ADC.Director!$D:$D,ADC.Director!$B:$B,$D33,ADC.Director!$A:$A,"&gt;="&amp;Q$27,ADC.Director!$A:$A,"&lt;="&amp;Q$28)+sumifs('000'!$D:$D,'000'!$B:$B,$D33,'000'!$A:$A,"&gt;="&amp;Q$27,'000'!$A:$A,"&lt;="&amp;Q$28)+sumifs('500'!$D:$D,'500'!$B:$B,$D33,'500'!$A:$A,"&gt;="&amp;Q$27,'500'!$A:$A,"&lt;="&amp;Q$28)+sumifs('300'!$D:$D,'300'!$B:$B,$D33,'300'!$A:$A,"&gt;="&amp;Q$27,'300'!$A:$A,"&lt;="&amp;Q$28)+sumifs('600.VPA'!$D:$D,'600.VPA'!$B:$B,$D33,'600.VPA'!$A:$A,"&gt;="&amp;Q$27,'600.VPA'!$A:$A,"&lt;="&amp;Q$28)</f>
        <v>0</v>
      </c>
      <c r="R33" s="104">
        <f>sumifs(Boss!$D:$D,Boss!$B:$B,$D33,Boss!$A:$A,"&gt;="&amp;R$27,Boss!$A:$A,"&lt;="&amp;R$28)+sumifs(VPA.Director!$D:$D,VPA.Director!$B:$B,$D33,VPA.Director!$A:$A,"&gt;="&amp;R$27,VPA.Director!$A:$A,"&lt;="&amp;R$28)+sumifs(ADC.Director!$D:$D,ADC.Director!$B:$B,$D33,ADC.Director!$A:$A,"&gt;="&amp;R$27,ADC.Director!$A:$A,"&lt;="&amp;R$28)+sumifs('000'!$D:$D,'000'!$B:$B,$D33,'000'!$A:$A,"&gt;="&amp;R$27,'000'!$A:$A,"&lt;="&amp;R$28)+sumifs('500'!$D:$D,'500'!$B:$B,$D33,'500'!$A:$A,"&gt;="&amp;R$27,'500'!$A:$A,"&lt;="&amp;R$28)+sumifs('300'!$D:$D,'300'!$B:$B,$D33,'300'!$A:$A,"&gt;="&amp;R$27,'300'!$A:$A,"&lt;="&amp;R$28)+sumifs('600.VPA'!$D:$D,'600.VPA'!$B:$B,$D33,'600.VPA'!$A:$A,"&gt;="&amp;R$27,'600.VPA'!$A:$A,"&lt;="&amp;R$28)</f>
        <v>0</v>
      </c>
      <c r="S33" s="104">
        <f>sumifs(Boss!$D:$D,Boss!$B:$B,$D33,Boss!$A:$A,"&gt;="&amp;S$27,Boss!$A:$A,"&lt;="&amp;S$28)+sumifs(VPA.Director!$D:$D,VPA.Director!$B:$B,$D33,VPA.Director!$A:$A,"&gt;="&amp;S$27,VPA.Director!$A:$A,"&lt;="&amp;S$28)+sumifs(ADC.Director!$D:$D,ADC.Director!$B:$B,$D33,ADC.Director!$A:$A,"&gt;="&amp;S$27,ADC.Director!$A:$A,"&lt;="&amp;S$28)+sumifs('000'!$D:$D,'000'!$B:$B,$D33,'000'!$A:$A,"&gt;="&amp;S$27,'000'!$A:$A,"&lt;="&amp;S$28)+sumifs('500'!$D:$D,'500'!$B:$B,$D33,'500'!$A:$A,"&gt;="&amp;S$27,'500'!$A:$A,"&lt;="&amp;S$28)+sumifs('300'!$D:$D,'300'!$B:$B,$D33,'300'!$A:$A,"&gt;="&amp;S$27,'300'!$A:$A,"&lt;="&amp;S$28)+sumifs('600.VPA'!$D:$D,'600.VPA'!$B:$B,$D33,'600.VPA'!$A:$A,"&gt;="&amp;S$27,'600.VPA'!$A:$A,"&lt;="&amp;S$28)</f>
        <v>0</v>
      </c>
      <c r="T33" s="104">
        <f>sumifs(Boss!$D:$D,Boss!$B:$B,$D33,Boss!$A:$A,"&gt;="&amp;T$27,Boss!$A:$A,"&lt;="&amp;T$28)+sumifs(VPA.Director!$D:$D,VPA.Director!$B:$B,$D33,VPA.Director!$A:$A,"&gt;="&amp;T$27,VPA.Director!$A:$A,"&lt;="&amp;T$28)+sumifs(ADC.Director!$D:$D,ADC.Director!$B:$B,$D33,ADC.Director!$A:$A,"&gt;="&amp;T$27,ADC.Director!$A:$A,"&lt;="&amp;T$28)+sumifs('000'!$D:$D,'000'!$B:$B,$D33,'000'!$A:$A,"&gt;="&amp;T$27,'000'!$A:$A,"&lt;="&amp;T$28)+sumifs('500'!$D:$D,'500'!$B:$B,$D33,'500'!$A:$A,"&gt;="&amp;T$27,'500'!$A:$A,"&lt;="&amp;T$28)+sumifs('300'!$D:$D,'300'!$B:$B,$D33,'300'!$A:$A,"&gt;="&amp;T$27,'300'!$A:$A,"&lt;="&amp;T$28)+sumifs('600.VPA'!$D:$D,'600.VPA'!$B:$B,$D33,'600.VPA'!$A:$A,"&gt;="&amp;T$27,'600.VPA'!$A:$A,"&lt;="&amp;T$28)</f>
        <v>0</v>
      </c>
      <c r="U33" s="86"/>
      <c r="V33" s="105">
        <f t="shared" si="1"/>
        <v>0</v>
      </c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7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</row>
    <row r="34" hidden="1">
      <c r="A34" s="86"/>
      <c r="B34" s="100"/>
      <c r="D34" s="102" t="s">
        <v>56</v>
      </c>
      <c r="E34" s="103" t="s">
        <v>9</v>
      </c>
      <c r="F34" s="102" t="s">
        <v>57</v>
      </c>
      <c r="G34" s="102" t="s">
        <v>58</v>
      </c>
      <c r="H34" s="102" t="s">
        <v>42</v>
      </c>
      <c r="I34" s="104">
        <f>sumifs(Boss!$D:$D,Boss!$B:$B,$D34,Boss!$A:$A,"&gt;="&amp;I$27,Boss!$A:$A,"&lt;="&amp;I$28)+sumifs(VPA.Director!$D:$D,VPA.Director!$B:$B,$D34,VPA.Director!$A:$A,"&gt;="&amp;I$27,VPA.Director!$A:$A,"&lt;="&amp;I$28)+sumifs(ADC.Director!$D:$D,ADC.Director!$B:$B,$D34,ADC.Director!$A:$A,"&gt;="&amp;I$27,ADC.Director!$A:$A,"&lt;="&amp;I$28)+sumifs('000'!$D:$D,'000'!$B:$B,$D34,'000'!$A:$A,"&gt;="&amp;I$27,'000'!$A:$A,"&lt;="&amp;I$28)+sumifs('500'!$D:$D,'500'!$B:$B,$D34,'500'!$A:$A,"&gt;="&amp;I$27,'500'!$A:$A,"&lt;="&amp;I$28)+sumifs('300'!$D:$D,'300'!$B:$B,$D34,'300'!$A:$A,"&gt;="&amp;I$27,'300'!$A:$A,"&lt;="&amp;I$28)+sumifs('600.VPA'!$D:$D,'600.VPA'!$B:$B,$D34,'600.VPA'!$A:$A,"&gt;="&amp;I$27,'600.VPA'!$A:$A,"&lt;="&amp;I$28)</f>
        <v>0</v>
      </c>
      <c r="J34" s="104">
        <f>sumifs(Boss!$D:$D,Boss!$B:$B,$D34,Boss!$A:$A,"&gt;="&amp;J$27,Boss!$A:$A,"&lt;="&amp;J$28)+sumifs(VPA.Director!$D:$D,VPA.Director!$B:$B,$D34,VPA.Director!$A:$A,"&gt;="&amp;J$27,VPA.Director!$A:$A,"&lt;="&amp;J$28)+sumifs(ADC.Director!$D:$D,ADC.Director!$B:$B,$D34,ADC.Director!$A:$A,"&gt;="&amp;J$27,ADC.Director!$A:$A,"&lt;="&amp;J$28)+sumifs('000'!$D:$D,'000'!$B:$B,$D34,'000'!$A:$A,"&gt;="&amp;J$27,'000'!$A:$A,"&lt;="&amp;J$28)+sumifs('500'!$D:$D,'500'!$B:$B,$D34,'500'!$A:$A,"&gt;="&amp;J$27,'500'!$A:$A,"&lt;="&amp;J$28)+sumifs('300'!$D:$D,'300'!$B:$B,$D34,'300'!$A:$A,"&gt;="&amp;J$27,'300'!$A:$A,"&lt;="&amp;J$28)+sumifs('600.VPA'!$D:$D,'600.VPA'!$B:$B,$D34,'600.VPA'!$A:$A,"&gt;="&amp;J$27,'600.VPA'!$A:$A,"&lt;="&amp;J$28)</f>
        <v>0</v>
      </c>
      <c r="K34" s="104">
        <f>sumifs(Boss!$D:$D,Boss!$B:$B,$D34,Boss!$A:$A,"&gt;="&amp;K$27,Boss!$A:$A,"&lt;="&amp;K$28)+sumifs(VPA.Director!$D:$D,VPA.Director!$B:$B,$D34,VPA.Director!$A:$A,"&gt;="&amp;K$27,VPA.Director!$A:$A,"&lt;="&amp;K$28)+sumifs(ADC.Director!$D:$D,ADC.Director!$B:$B,$D34,ADC.Director!$A:$A,"&gt;="&amp;K$27,ADC.Director!$A:$A,"&lt;="&amp;K$28)+sumifs('000'!$D:$D,'000'!$B:$B,$D34,'000'!$A:$A,"&gt;="&amp;K$27,'000'!$A:$A,"&lt;="&amp;K$28)+sumifs('500'!$D:$D,'500'!$B:$B,$D34,'500'!$A:$A,"&gt;="&amp;K$27,'500'!$A:$A,"&lt;="&amp;K$28)+sumifs('300'!$D:$D,'300'!$B:$B,$D34,'300'!$A:$A,"&gt;="&amp;K$27,'300'!$A:$A,"&lt;="&amp;K$28)+sumifs('600.VPA'!$D:$D,'600.VPA'!$B:$B,$D34,'600.VPA'!$A:$A,"&gt;="&amp;K$27,'600.VPA'!$A:$A,"&lt;="&amp;K$28)</f>
        <v>0</v>
      </c>
      <c r="L34" s="104">
        <f>sumifs(Boss!$D:$D,Boss!$B:$B,$D34,Boss!$A:$A,"&gt;="&amp;L$27,Boss!$A:$A,"&lt;="&amp;L$28)+sumifs(VPA.Director!$D:$D,VPA.Director!$B:$B,$D34,VPA.Director!$A:$A,"&gt;="&amp;L$27,VPA.Director!$A:$A,"&lt;="&amp;L$28)+sumifs(ADC.Director!$D:$D,ADC.Director!$B:$B,$D34,ADC.Director!$A:$A,"&gt;="&amp;L$27,ADC.Director!$A:$A,"&lt;="&amp;L$28)+sumifs('000'!$D:$D,'000'!$B:$B,$D34,'000'!$A:$A,"&gt;="&amp;L$27,'000'!$A:$A,"&lt;="&amp;L$28)+sumifs('500'!$D:$D,'500'!$B:$B,$D34,'500'!$A:$A,"&gt;="&amp;L$27,'500'!$A:$A,"&lt;="&amp;L$28)+sumifs('300'!$D:$D,'300'!$B:$B,$D34,'300'!$A:$A,"&gt;="&amp;L$27,'300'!$A:$A,"&lt;="&amp;L$28)+sumifs('600.VPA'!$D:$D,'600.VPA'!$B:$B,$D34,'600.VPA'!$A:$A,"&gt;="&amp;L$27,'600.VPA'!$A:$A,"&lt;="&amp;L$28)</f>
        <v>0</v>
      </c>
      <c r="M34" s="104">
        <f>sumifs(Boss!$D:$D,Boss!$B:$B,$D34,Boss!$A:$A,"&gt;="&amp;M$27,Boss!$A:$A,"&lt;="&amp;M$28)+sumifs(VPA.Director!$D:$D,VPA.Director!$B:$B,$D34,VPA.Director!$A:$A,"&gt;="&amp;M$27,VPA.Director!$A:$A,"&lt;="&amp;M$28)+sumifs(ADC.Director!$D:$D,ADC.Director!$B:$B,$D34,ADC.Director!$A:$A,"&gt;="&amp;M$27,ADC.Director!$A:$A,"&lt;="&amp;M$28)+sumifs('000'!$D:$D,'000'!$B:$B,$D34,'000'!$A:$A,"&gt;="&amp;M$27,'000'!$A:$A,"&lt;="&amp;M$28)+sumifs('500'!$D:$D,'500'!$B:$B,$D34,'500'!$A:$A,"&gt;="&amp;M$27,'500'!$A:$A,"&lt;="&amp;M$28)+sumifs('300'!$D:$D,'300'!$B:$B,$D34,'300'!$A:$A,"&gt;="&amp;M$27,'300'!$A:$A,"&lt;="&amp;M$28)+sumifs('600.VPA'!$D:$D,'600.VPA'!$B:$B,$D34,'600.VPA'!$A:$A,"&gt;="&amp;M$27,'600.VPA'!$A:$A,"&lt;="&amp;M$28)</f>
        <v>0</v>
      </c>
      <c r="N34" s="104">
        <f>sumifs(Boss!$D:$D,Boss!$B:$B,$D34,Boss!$A:$A,"&gt;="&amp;N$27,Boss!$A:$A,"&lt;="&amp;N$28)+sumifs(VPA.Director!$D:$D,VPA.Director!$B:$B,$D34,VPA.Director!$A:$A,"&gt;="&amp;N$27,VPA.Director!$A:$A,"&lt;="&amp;N$28)+sumifs(ADC.Director!$D:$D,ADC.Director!$B:$B,$D34,ADC.Director!$A:$A,"&gt;="&amp;N$27,ADC.Director!$A:$A,"&lt;="&amp;N$28)+sumifs('000'!$D:$D,'000'!$B:$B,$D34,'000'!$A:$A,"&gt;="&amp;N$27,'000'!$A:$A,"&lt;="&amp;N$28)+sumifs('500'!$D:$D,'500'!$B:$B,$D34,'500'!$A:$A,"&gt;="&amp;N$27,'500'!$A:$A,"&lt;="&amp;N$28)+sumifs('300'!$D:$D,'300'!$B:$B,$D34,'300'!$A:$A,"&gt;="&amp;N$27,'300'!$A:$A,"&lt;="&amp;N$28)+sumifs('600.VPA'!$D:$D,'600.VPA'!$B:$B,$D34,'600.VPA'!$A:$A,"&gt;="&amp;N$27,'600.VPA'!$A:$A,"&lt;="&amp;N$28)</f>
        <v>0</v>
      </c>
      <c r="O34" s="104">
        <f>sumifs(Boss!$D:$D,Boss!$B:$B,$D34,Boss!$A:$A,"&gt;="&amp;O$27,Boss!$A:$A,"&lt;="&amp;O$28)+sumifs(VPA.Director!$D:$D,VPA.Director!$B:$B,$D34,VPA.Director!$A:$A,"&gt;="&amp;O$27,VPA.Director!$A:$A,"&lt;="&amp;O$28)+sumifs(ADC.Director!$D:$D,ADC.Director!$B:$B,$D34,ADC.Director!$A:$A,"&gt;="&amp;O$27,ADC.Director!$A:$A,"&lt;="&amp;O$28)+sumifs('000'!$D:$D,'000'!$B:$B,$D34,'000'!$A:$A,"&gt;="&amp;O$27,'000'!$A:$A,"&lt;="&amp;O$28)+sumifs('500'!$D:$D,'500'!$B:$B,$D34,'500'!$A:$A,"&gt;="&amp;O$27,'500'!$A:$A,"&lt;="&amp;O$28)+sumifs('300'!$D:$D,'300'!$B:$B,$D34,'300'!$A:$A,"&gt;="&amp;O$27,'300'!$A:$A,"&lt;="&amp;O$28)+sumifs('600.VPA'!$D:$D,'600.VPA'!$B:$B,$D34,'600.VPA'!$A:$A,"&gt;="&amp;O$27,'600.VPA'!$A:$A,"&lt;="&amp;O$28)</f>
        <v>0</v>
      </c>
      <c r="P34" s="104">
        <f>sumifs(Boss!$D:$D,Boss!$B:$B,$D34,Boss!$A:$A,"&gt;="&amp;P$27,Boss!$A:$A,"&lt;="&amp;P$28)+sumifs(VPA.Director!$D:$D,VPA.Director!$B:$B,$D34,VPA.Director!$A:$A,"&gt;="&amp;P$27,VPA.Director!$A:$A,"&lt;="&amp;P$28)+sumifs(ADC.Director!$D:$D,ADC.Director!$B:$B,$D34,ADC.Director!$A:$A,"&gt;="&amp;P$27,ADC.Director!$A:$A,"&lt;="&amp;P$28)+sumifs('000'!$D:$D,'000'!$B:$B,$D34,'000'!$A:$A,"&gt;="&amp;P$27,'000'!$A:$A,"&lt;="&amp;P$28)+sumifs('500'!$D:$D,'500'!$B:$B,$D34,'500'!$A:$A,"&gt;="&amp;P$27,'500'!$A:$A,"&lt;="&amp;P$28)+sumifs('300'!$D:$D,'300'!$B:$B,$D34,'300'!$A:$A,"&gt;="&amp;P$27,'300'!$A:$A,"&lt;="&amp;P$28)+sumifs('600.VPA'!$D:$D,'600.VPA'!$B:$B,$D34,'600.VPA'!$A:$A,"&gt;="&amp;P$27,'600.VPA'!$A:$A,"&lt;="&amp;P$28)</f>
        <v>0</v>
      </c>
      <c r="Q34" s="104">
        <f>sumifs(Boss!$D:$D,Boss!$B:$B,$D34,Boss!$A:$A,"&gt;="&amp;Q$27,Boss!$A:$A,"&lt;="&amp;Q$28)+sumifs(VPA.Director!$D:$D,VPA.Director!$B:$B,$D34,VPA.Director!$A:$A,"&gt;="&amp;Q$27,VPA.Director!$A:$A,"&lt;="&amp;Q$28)+sumifs(ADC.Director!$D:$D,ADC.Director!$B:$B,$D34,ADC.Director!$A:$A,"&gt;="&amp;Q$27,ADC.Director!$A:$A,"&lt;="&amp;Q$28)+sumifs('000'!$D:$D,'000'!$B:$B,$D34,'000'!$A:$A,"&gt;="&amp;Q$27,'000'!$A:$A,"&lt;="&amp;Q$28)+sumifs('500'!$D:$D,'500'!$B:$B,$D34,'500'!$A:$A,"&gt;="&amp;Q$27,'500'!$A:$A,"&lt;="&amp;Q$28)+sumifs('300'!$D:$D,'300'!$B:$B,$D34,'300'!$A:$A,"&gt;="&amp;Q$27,'300'!$A:$A,"&lt;="&amp;Q$28)+sumifs('600.VPA'!$D:$D,'600.VPA'!$B:$B,$D34,'600.VPA'!$A:$A,"&gt;="&amp;Q$27,'600.VPA'!$A:$A,"&lt;="&amp;Q$28)</f>
        <v>0</v>
      </c>
      <c r="R34" s="104">
        <f>sumifs(Boss!$D:$D,Boss!$B:$B,$D34,Boss!$A:$A,"&gt;="&amp;R$27,Boss!$A:$A,"&lt;="&amp;R$28)+sumifs(VPA.Director!$D:$D,VPA.Director!$B:$B,$D34,VPA.Director!$A:$A,"&gt;="&amp;R$27,VPA.Director!$A:$A,"&lt;="&amp;R$28)+sumifs(ADC.Director!$D:$D,ADC.Director!$B:$B,$D34,ADC.Director!$A:$A,"&gt;="&amp;R$27,ADC.Director!$A:$A,"&lt;="&amp;R$28)+sumifs('000'!$D:$D,'000'!$B:$B,$D34,'000'!$A:$A,"&gt;="&amp;R$27,'000'!$A:$A,"&lt;="&amp;R$28)+sumifs('500'!$D:$D,'500'!$B:$B,$D34,'500'!$A:$A,"&gt;="&amp;R$27,'500'!$A:$A,"&lt;="&amp;R$28)+sumifs('300'!$D:$D,'300'!$B:$B,$D34,'300'!$A:$A,"&gt;="&amp;R$27,'300'!$A:$A,"&lt;="&amp;R$28)+sumifs('600.VPA'!$D:$D,'600.VPA'!$B:$B,$D34,'600.VPA'!$A:$A,"&gt;="&amp;R$27,'600.VPA'!$A:$A,"&lt;="&amp;R$28)</f>
        <v>0</v>
      </c>
      <c r="S34" s="104">
        <f>sumifs(Boss!$D:$D,Boss!$B:$B,$D34,Boss!$A:$A,"&gt;="&amp;S$27,Boss!$A:$A,"&lt;="&amp;S$28)+sumifs(VPA.Director!$D:$D,VPA.Director!$B:$B,$D34,VPA.Director!$A:$A,"&gt;="&amp;S$27,VPA.Director!$A:$A,"&lt;="&amp;S$28)+sumifs(ADC.Director!$D:$D,ADC.Director!$B:$B,$D34,ADC.Director!$A:$A,"&gt;="&amp;S$27,ADC.Director!$A:$A,"&lt;="&amp;S$28)+sumifs('000'!$D:$D,'000'!$B:$B,$D34,'000'!$A:$A,"&gt;="&amp;S$27,'000'!$A:$A,"&lt;="&amp;S$28)+sumifs('500'!$D:$D,'500'!$B:$B,$D34,'500'!$A:$A,"&gt;="&amp;S$27,'500'!$A:$A,"&lt;="&amp;S$28)+sumifs('300'!$D:$D,'300'!$B:$B,$D34,'300'!$A:$A,"&gt;="&amp;S$27,'300'!$A:$A,"&lt;="&amp;S$28)+sumifs('600.VPA'!$D:$D,'600.VPA'!$B:$B,$D34,'600.VPA'!$A:$A,"&gt;="&amp;S$27,'600.VPA'!$A:$A,"&lt;="&amp;S$28)</f>
        <v>0</v>
      </c>
      <c r="T34" s="104">
        <f>sumifs(Boss!$D:$D,Boss!$B:$B,$D34,Boss!$A:$A,"&gt;="&amp;T$27,Boss!$A:$A,"&lt;="&amp;T$28)+sumifs(VPA.Director!$D:$D,VPA.Director!$B:$B,$D34,VPA.Director!$A:$A,"&gt;="&amp;T$27,VPA.Director!$A:$A,"&lt;="&amp;T$28)+sumifs(ADC.Director!$D:$D,ADC.Director!$B:$B,$D34,ADC.Director!$A:$A,"&gt;="&amp;T$27,ADC.Director!$A:$A,"&lt;="&amp;T$28)+sumifs('000'!$D:$D,'000'!$B:$B,$D34,'000'!$A:$A,"&gt;="&amp;T$27,'000'!$A:$A,"&lt;="&amp;T$28)+sumifs('500'!$D:$D,'500'!$B:$B,$D34,'500'!$A:$A,"&gt;="&amp;T$27,'500'!$A:$A,"&lt;="&amp;T$28)+sumifs('300'!$D:$D,'300'!$B:$B,$D34,'300'!$A:$A,"&gt;="&amp;T$27,'300'!$A:$A,"&lt;="&amp;T$28)+sumifs('600.VPA'!$D:$D,'600.VPA'!$B:$B,$D34,'600.VPA'!$A:$A,"&gt;="&amp;T$27,'600.VPA'!$A:$A,"&lt;="&amp;T$28)</f>
        <v>0</v>
      </c>
      <c r="U34" s="86"/>
      <c r="V34" s="105">
        <f t="shared" si="1"/>
        <v>0</v>
      </c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7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</row>
    <row r="35" hidden="1">
      <c r="A35" s="86"/>
      <c r="B35" s="100"/>
      <c r="D35" s="102" t="s">
        <v>59</v>
      </c>
      <c r="E35" s="103" t="s">
        <v>10</v>
      </c>
      <c r="F35" s="102" t="s">
        <v>60</v>
      </c>
      <c r="G35" s="102" t="s">
        <v>61</v>
      </c>
      <c r="H35" s="102" t="s">
        <v>42</v>
      </c>
      <c r="I35" s="104">
        <f>sumifs(Boss!$D:$D,Boss!$B:$B,$D35,Boss!$A:$A,"&gt;="&amp;I$27,Boss!$A:$A,"&lt;="&amp;I$28)+sumifs(VPA.Director!$D:$D,VPA.Director!$B:$B,$D35,VPA.Director!$A:$A,"&gt;="&amp;I$27,VPA.Director!$A:$A,"&lt;="&amp;I$28)+sumifs(ADC.Director!$D:$D,ADC.Director!$B:$B,$D35,ADC.Director!$A:$A,"&gt;="&amp;I$27,ADC.Director!$A:$A,"&lt;="&amp;I$28)+sumifs('000'!$D:$D,'000'!$B:$B,$D35,'000'!$A:$A,"&gt;="&amp;I$27,'000'!$A:$A,"&lt;="&amp;I$28)+sumifs('500'!$D:$D,'500'!$B:$B,$D35,'500'!$A:$A,"&gt;="&amp;I$27,'500'!$A:$A,"&lt;="&amp;I$28)+sumifs('300'!$D:$D,'300'!$B:$B,$D35,'300'!$A:$A,"&gt;="&amp;I$27,'300'!$A:$A,"&lt;="&amp;I$28)+sumifs('600.VPA'!$D:$D,'600.VPA'!$B:$B,$D35,'600.VPA'!$A:$A,"&gt;="&amp;I$27,'600.VPA'!$A:$A,"&lt;="&amp;I$28)</f>
        <v>0</v>
      </c>
      <c r="J35" s="104">
        <f>sumifs(Boss!$D:$D,Boss!$B:$B,$D35,Boss!$A:$A,"&gt;="&amp;J$27,Boss!$A:$A,"&lt;="&amp;J$28)+sumifs(VPA.Director!$D:$D,VPA.Director!$B:$B,$D35,VPA.Director!$A:$A,"&gt;="&amp;J$27,VPA.Director!$A:$A,"&lt;="&amp;J$28)+sumifs(ADC.Director!$D:$D,ADC.Director!$B:$B,$D35,ADC.Director!$A:$A,"&gt;="&amp;J$27,ADC.Director!$A:$A,"&lt;="&amp;J$28)+sumifs('000'!$D:$D,'000'!$B:$B,$D35,'000'!$A:$A,"&gt;="&amp;J$27,'000'!$A:$A,"&lt;="&amp;J$28)+sumifs('500'!$D:$D,'500'!$B:$B,$D35,'500'!$A:$A,"&gt;="&amp;J$27,'500'!$A:$A,"&lt;="&amp;J$28)+sumifs('300'!$D:$D,'300'!$B:$B,$D35,'300'!$A:$A,"&gt;="&amp;J$27,'300'!$A:$A,"&lt;="&amp;J$28)+sumifs('600.VPA'!$D:$D,'600.VPA'!$B:$B,$D35,'600.VPA'!$A:$A,"&gt;="&amp;J$27,'600.VPA'!$A:$A,"&lt;="&amp;J$28)</f>
        <v>0</v>
      </c>
      <c r="K35" s="104">
        <f>sumifs(Boss!$D:$D,Boss!$B:$B,$D35,Boss!$A:$A,"&gt;="&amp;K$27,Boss!$A:$A,"&lt;="&amp;K$28)+sumifs(VPA.Director!$D:$D,VPA.Director!$B:$B,$D35,VPA.Director!$A:$A,"&gt;="&amp;K$27,VPA.Director!$A:$A,"&lt;="&amp;K$28)+sumifs(ADC.Director!$D:$D,ADC.Director!$B:$B,$D35,ADC.Director!$A:$A,"&gt;="&amp;K$27,ADC.Director!$A:$A,"&lt;="&amp;K$28)+sumifs('000'!$D:$D,'000'!$B:$B,$D35,'000'!$A:$A,"&gt;="&amp;K$27,'000'!$A:$A,"&lt;="&amp;K$28)+sumifs('500'!$D:$D,'500'!$B:$B,$D35,'500'!$A:$A,"&gt;="&amp;K$27,'500'!$A:$A,"&lt;="&amp;K$28)+sumifs('300'!$D:$D,'300'!$B:$B,$D35,'300'!$A:$A,"&gt;="&amp;K$27,'300'!$A:$A,"&lt;="&amp;K$28)+sumifs('600.VPA'!$D:$D,'600.VPA'!$B:$B,$D35,'600.VPA'!$A:$A,"&gt;="&amp;K$27,'600.VPA'!$A:$A,"&lt;="&amp;K$28)</f>
        <v>0</v>
      </c>
      <c r="L35" s="104">
        <f>sumifs(Boss!$D:$D,Boss!$B:$B,$D35,Boss!$A:$A,"&gt;="&amp;L$27,Boss!$A:$A,"&lt;="&amp;L$28)+sumifs(VPA.Director!$D:$D,VPA.Director!$B:$B,$D35,VPA.Director!$A:$A,"&gt;="&amp;L$27,VPA.Director!$A:$A,"&lt;="&amp;L$28)+sumifs(ADC.Director!$D:$D,ADC.Director!$B:$B,$D35,ADC.Director!$A:$A,"&gt;="&amp;L$27,ADC.Director!$A:$A,"&lt;="&amp;L$28)+sumifs('000'!$D:$D,'000'!$B:$B,$D35,'000'!$A:$A,"&gt;="&amp;L$27,'000'!$A:$A,"&lt;="&amp;L$28)+sumifs('500'!$D:$D,'500'!$B:$B,$D35,'500'!$A:$A,"&gt;="&amp;L$27,'500'!$A:$A,"&lt;="&amp;L$28)+sumifs('300'!$D:$D,'300'!$B:$B,$D35,'300'!$A:$A,"&gt;="&amp;L$27,'300'!$A:$A,"&lt;="&amp;L$28)+sumifs('600.VPA'!$D:$D,'600.VPA'!$B:$B,$D35,'600.VPA'!$A:$A,"&gt;="&amp;L$27,'600.VPA'!$A:$A,"&lt;="&amp;L$28)</f>
        <v>0</v>
      </c>
      <c r="M35" s="104">
        <f>sumifs(Boss!$D:$D,Boss!$B:$B,$D35,Boss!$A:$A,"&gt;="&amp;M$27,Boss!$A:$A,"&lt;="&amp;M$28)+sumifs(VPA.Director!$D:$D,VPA.Director!$B:$B,$D35,VPA.Director!$A:$A,"&gt;="&amp;M$27,VPA.Director!$A:$A,"&lt;="&amp;M$28)+sumifs(ADC.Director!$D:$D,ADC.Director!$B:$B,$D35,ADC.Director!$A:$A,"&gt;="&amp;M$27,ADC.Director!$A:$A,"&lt;="&amp;M$28)+sumifs('000'!$D:$D,'000'!$B:$B,$D35,'000'!$A:$A,"&gt;="&amp;M$27,'000'!$A:$A,"&lt;="&amp;M$28)+sumifs('500'!$D:$D,'500'!$B:$B,$D35,'500'!$A:$A,"&gt;="&amp;M$27,'500'!$A:$A,"&lt;="&amp;M$28)+sumifs('300'!$D:$D,'300'!$B:$B,$D35,'300'!$A:$A,"&gt;="&amp;M$27,'300'!$A:$A,"&lt;="&amp;M$28)+sumifs('600.VPA'!$D:$D,'600.VPA'!$B:$B,$D35,'600.VPA'!$A:$A,"&gt;="&amp;M$27,'600.VPA'!$A:$A,"&lt;="&amp;M$28)</f>
        <v>0</v>
      </c>
      <c r="N35" s="104">
        <f>sumifs(Boss!$D:$D,Boss!$B:$B,$D35,Boss!$A:$A,"&gt;="&amp;N$27,Boss!$A:$A,"&lt;="&amp;N$28)+sumifs(VPA.Director!$D:$D,VPA.Director!$B:$B,$D35,VPA.Director!$A:$A,"&gt;="&amp;N$27,VPA.Director!$A:$A,"&lt;="&amp;N$28)+sumifs(ADC.Director!$D:$D,ADC.Director!$B:$B,$D35,ADC.Director!$A:$A,"&gt;="&amp;N$27,ADC.Director!$A:$A,"&lt;="&amp;N$28)+sumifs('000'!$D:$D,'000'!$B:$B,$D35,'000'!$A:$A,"&gt;="&amp;N$27,'000'!$A:$A,"&lt;="&amp;N$28)+sumifs('500'!$D:$D,'500'!$B:$B,$D35,'500'!$A:$A,"&gt;="&amp;N$27,'500'!$A:$A,"&lt;="&amp;N$28)+sumifs('300'!$D:$D,'300'!$B:$B,$D35,'300'!$A:$A,"&gt;="&amp;N$27,'300'!$A:$A,"&lt;="&amp;N$28)+sumifs('600.VPA'!$D:$D,'600.VPA'!$B:$B,$D35,'600.VPA'!$A:$A,"&gt;="&amp;N$27,'600.VPA'!$A:$A,"&lt;="&amp;N$28)</f>
        <v>0</v>
      </c>
      <c r="O35" s="104">
        <f>sumifs(Boss!$D:$D,Boss!$B:$B,$D35,Boss!$A:$A,"&gt;="&amp;O$27,Boss!$A:$A,"&lt;="&amp;O$28)+sumifs(VPA.Director!$D:$D,VPA.Director!$B:$B,$D35,VPA.Director!$A:$A,"&gt;="&amp;O$27,VPA.Director!$A:$A,"&lt;="&amp;O$28)+sumifs(ADC.Director!$D:$D,ADC.Director!$B:$B,$D35,ADC.Director!$A:$A,"&gt;="&amp;O$27,ADC.Director!$A:$A,"&lt;="&amp;O$28)+sumifs('000'!$D:$D,'000'!$B:$B,$D35,'000'!$A:$A,"&gt;="&amp;O$27,'000'!$A:$A,"&lt;="&amp;O$28)+sumifs('500'!$D:$D,'500'!$B:$B,$D35,'500'!$A:$A,"&gt;="&amp;O$27,'500'!$A:$A,"&lt;="&amp;O$28)+sumifs('300'!$D:$D,'300'!$B:$B,$D35,'300'!$A:$A,"&gt;="&amp;O$27,'300'!$A:$A,"&lt;="&amp;O$28)+sumifs('600.VPA'!$D:$D,'600.VPA'!$B:$B,$D35,'600.VPA'!$A:$A,"&gt;="&amp;O$27,'600.VPA'!$A:$A,"&lt;="&amp;O$28)</f>
        <v>0</v>
      </c>
      <c r="P35" s="104">
        <f>sumifs(Boss!$D:$D,Boss!$B:$B,$D35,Boss!$A:$A,"&gt;="&amp;P$27,Boss!$A:$A,"&lt;="&amp;P$28)+sumifs(VPA.Director!$D:$D,VPA.Director!$B:$B,$D35,VPA.Director!$A:$A,"&gt;="&amp;P$27,VPA.Director!$A:$A,"&lt;="&amp;P$28)+sumifs(ADC.Director!$D:$D,ADC.Director!$B:$B,$D35,ADC.Director!$A:$A,"&gt;="&amp;P$27,ADC.Director!$A:$A,"&lt;="&amp;P$28)+sumifs('000'!$D:$D,'000'!$B:$B,$D35,'000'!$A:$A,"&gt;="&amp;P$27,'000'!$A:$A,"&lt;="&amp;P$28)+sumifs('500'!$D:$D,'500'!$B:$B,$D35,'500'!$A:$A,"&gt;="&amp;P$27,'500'!$A:$A,"&lt;="&amp;P$28)+sumifs('300'!$D:$D,'300'!$B:$B,$D35,'300'!$A:$A,"&gt;="&amp;P$27,'300'!$A:$A,"&lt;="&amp;P$28)+sumifs('600.VPA'!$D:$D,'600.VPA'!$B:$B,$D35,'600.VPA'!$A:$A,"&gt;="&amp;P$27,'600.VPA'!$A:$A,"&lt;="&amp;P$28)</f>
        <v>0</v>
      </c>
      <c r="Q35" s="104">
        <f>sumifs(Boss!$D:$D,Boss!$B:$B,$D35,Boss!$A:$A,"&gt;="&amp;Q$27,Boss!$A:$A,"&lt;="&amp;Q$28)+sumifs(VPA.Director!$D:$D,VPA.Director!$B:$B,$D35,VPA.Director!$A:$A,"&gt;="&amp;Q$27,VPA.Director!$A:$A,"&lt;="&amp;Q$28)+sumifs(ADC.Director!$D:$D,ADC.Director!$B:$B,$D35,ADC.Director!$A:$A,"&gt;="&amp;Q$27,ADC.Director!$A:$A,"&lt;="&amp;Q$28)+sumifs('000'!$D:$D,'000'!$B:$B,$D35,'000'!$A:$A,"&gt;="&amp;Q$27,'000'!$A:$A,"&lt;="&amp;Q$28)+sumifs('500'!$D:$D,'500'!$B:$B,$D35,'500'!$A:$A,"&gt;="&amp;Q$27,'500'!$A:$A,"&lt;="&amp;Q$28)+sumifs('300'!$D:$D,'300'!$B:$B,$D35,'300'!$A:$A,"&gt;="&amp;Q$27,'300'!$A:$A,"&lt;="&amp;Q$28)+sumifs('600.VPA'!$D:$D,'600.VPA'!$B:$B,$D35,'600.VPA'!$A:$A,"&gt;="&amp;Q$27,'600.VPA'!$A:$A,"&lt;="&amp;Q$28)</f>
        <v>0</v>
      </c>
      <c r="R35" s="104">
        <f>sumifs(Boss!$D:$D,Boss!$B:$B,$D35,Boss!$A:$A,"&gt;="&amp;R$27,Boss!$A:$A,"&lt;="&amp;R$28)+sumifs(VPA.Director!$D:$D,VPA.Director!$B:$B,$D35,VPA.Director!$A:$A,"&gt;="&amp;R$27,VPA.Director!$A:$A,"&lt;="&amp;R$28)+sumifs(ADC.Director!$D:$D,ADC.Director!$B:$B,$D35,ADC.Director!$A:$A,"&gt;="&amp;R$27,ADC.Director!$A:$A,"&lt;="&amp;R$28)+sumifs('000'!$D:$D,'000'!$B:$B,$D35,'000'!$A:$A,"&gt;="&amp;R$27,'000'!$A:$A,"&lt;="&amp;R$28)+sumifs('500'!$D:$D,'500'!$B:$B,$D35,'500'!$A:$A,"&gt;="&amp;R$27,'500'!$A:$A,"&lt;="&amp;R$28)+sumifs('300'!$D:$D,'300'!$B:$B,$D35,'300'!$A:$A,"&gt;="&amp;R$27,'300'!$A:$A,"&lt;="&amp;R$28)+sumifs('600.VPA'!$D:$D,'600.VPA'!$B:$B,$D35,'600.VPA'!$A:$A,"&gt;="&amp;R$27,'600.VPA'!$A:$A,"&lt;="&amp;R$28)</f>
        <v>0</v>
      </c>
      <c r="S35" s="104">
        <f>sumifs(Boss!$D:$D,Boss!$B:$B,$D35,Boss!$A:$A,"&gt;="&amp;S$27,Boss!$A:$A,"&lt;="&amp;S$28)+sumifs(VPA.Director!$D:$D,VPA.Director!$B:$B,$D35,VPA.Director!$A:$A,"&gt;="&amp;S$27,VPA.Director!$A:$A,"&lt;="&amp;S$28)+sumifs(ADC.Director!$D:$D,ADC.Director!$B:$B,$D35,ADC.Director!$A:$A,"&gt;="&amp;S$27,ADC.Director!$A:$A,"&lt;="&amp;S$28)+sumifs('000'!$D:$D,'000'!$B:$B,$D35,'000'!$A:$A,"&gt;="&amp;S$27,'000'!$A:$A,"&lt;="&amp;S$28)+sumifs('500'!$D:$D,'500'!$B:$B,$D35,'500'!$A:$A,"&gt;="&amp;S$27,'500'!$A:$A,"&lt;="&amp;S$28)+sumifs('300'!$D:$D,'300'!$B:$B,$D35,'300'!$A:$A,"&gt;="&amp;S$27,'300'!$A:$A,"&lt;="&amp;S$28)+sumifs('600.VPA'!$D:$D,'600.VPA'!$B:$B,$D35,'600.VPA'!$A:$A,"&gt;="&amp;S$27,'600.VPA'!$A:$A,"&lt;="&amp;S$28)</f>
        <v>0</v>
      </c>
      <c r="T35" s="104">
        <f>sumifs(Boss!$D:$D,Boss!$B:$B,$D35,Boss!$A:$A,"&gt;="&amp;T$27,Boss!$A:$A,"&lt;="&amp;T$28)+sumifs(VPA.Director!$D:$D,VPA.Director!$B:$B,$D35,VPA.Director!$A:$A,"&gt;="&amp;T$27,VPA.Director!$A:$A,"&lt;="&amp;T$28)+sumifs(ADC.Director!$D:$D,ADC.Director!$B:$B,$D35,ADC.Director!$A:$A,"&gt;="&amp;T$27,ADC.Director!$A:$A,"&lt;="&amp;T$28)+sumifs('000'!$D:$D,'000'!$B:$B,$D35,'000'!$A:$A,"&gt;="&amp;T$27,'000'!$A:$A,"&lt;="&amp;T$28)+sumifs('500'!$D:$D,'500'!$B:$B,$D35,'500'!$A:$A,"&gt;="&amp;T$27,'500'!$A:$A,"&lt;="&amp;T$28)+sumifs('300'!$D:$D,'300'!$B:$B,$D35,'300'!$A:$A,"&gt;="&amp;T$27,'300'!$A:$A,"&lt;="&amp;T$28)+sumifs('600.VPA'!$D:$D,'600.VPA'!$B:$B,$D35,'600.VPA'!$A:$A,"&gt;="&amp;T$27,'600.VPA'!$A:$A,"&lt;="&amp;T$28)</f>
        <v>0</v>
      </c>
      <c r="U35" s="86"/>
      <c r="V35" s="105">
        <f t="shared" si="1"/>
        <v>0</v>
      </c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7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</row>
    <row r="36" hidden="1">
      <c r="A36" s="86"/>
      <c r="B36" s="100"/>
      <c r="D36" s="102" t="s">
        <v>62</v>
      </c>
      <c r="E36" s="103" t="s">
        <v>11</v>
      </c>
      <c r="F36" s="102" t="s">
        <v>63</v>
      </c>
      <c r="G36" s="102" t="s">
        <v>64</v>
      </c>
      <c r="H36" s="102" t="s">
        <v>42</v>
      </c>
      <c r="I36" s="104">
        <f>sumifs(Boss!$D:$D,Boss!$B:$B,$D36,Boss!$A:$A,"&gt;="&amp;I$27,Boss!$A:$A,"&lt;="&amp;I$28)+sumifs(VPA.Director!$D:$D,VPA.Director!$B:$B,$D36,VPA.Director!$A:$A,"&gt;="&amp;I$27,VPA.Director!$A:$A,"&lt;="&amp;I$28)+sumifs(ADC.Director!$D:$D,ADC.Director!$B:$B,$D36,ADC.Director!$A:$A,"&gt;="&amp;I$27,ADC.Director!$A:$A,"&lt;="&amp;I$28)+sumifs('000'!$D:$D,'000'!$B:$B,$D36,'000'!$A:$A,"&gt;="&amp;I$27,'000'!$A:$A,"&lt;="&amp;I$28)+sumifs('500'!$D:$D,'500'!$B:$B,$D36,'500'!$A:$A,"&gt;="&amp;I$27,'500'!$A:$A,"&lt;="&amp;I$28)+sumifs('300'!$D:$D,'300'!$B:$B,$D36,'300'!$A:$A,"&gt;="&amp;I$27,'300'!$A:$A,"&lt;="&amp;I$28)+sumifs('600.VPA'!$D:$D,'600.VPA'!$B:$B,$D36,'600.VPA'!$A:$A,"&gt;="&amp;I$27,'600.VPA'!$A:$A,"&lt;="&amp;I$28)</f>
        <v>0</v>
      </c>
      <c r="J36" s="104">
        <f>sumifs(Boss!$D:$D,Boss!$B:$B,$D36,Boss!$A:$A,"&gt;="&amp;J$27,Boss!$A:$A,"&lt;="&amp;J$28)+sumifs(VPA.Director!$D:$D,VPA.Director!$B:$B,$D36,VPA.Director!$A:$A,"&gt;="&amp;J$27,VPA.Director!$A:$A,"&lt;="&amp;J$28)+sumifs(ADC.Director!$D:$D,ADC.Director!$B:$B,$D36,ADC.Director!$A:$A,"&gt;="&amp;J$27,ADC.Director!$A:$A,"&lt;="&amp;J$28)+sumifs('000'!$D:$D,'000'!$B:$B,$D36,'000'!$A:$A,"&gt;="&amp;J$27,'000'!$A:$A,"&lt;="&amp;J$28)+sumifs('500'!$D:$D,'500'!$B:$B,$D36,'500'!$A:$A,"&gt;="&amp;J$27,'500'!$A:$A,"&lt;="&amp;J$28)+sumifs('300'!$D:$D,'300'!$B:$B,$D36,'300'!$A:$A,"&gt;="&amp;J$27,'300'!$A:$A,"&lt;="&amp;J$28)+sumifs('600.VPA'!$D:$D,'600.VPA'!$B:$B,$D36,'600.VPA'!$A:$A,"&gt;="&amp;J$27,'600.VPA'!$A:$A,"&lt;="&amp;J$28)</f>
        <v>0</v>
      </c>
      <c r="K36" s="104">
        <f>sumifs(Boss!$D:$D,Boss!$B:$B,$D36,Boss!$A:$A,"&gt;="&amp;K$27,Boss!$A:$A,"&lt;="&amp;K$28)+sumifs(VPA.Director!$D:$D,VPA.Director!$B:$B,$D36,VPA.Director!$A:$A,"&gt;="&amp;K$27,VPA.Director!$A:$A,"&lt;="&amp;K$28)+sumifs(ADC.Director!$D:$D,ADC.Director!$B:$B,$D36,ADC.Director!$A:$A,"&gt;="&amp;K$27,ADC.Director!$A:$A,"&lt;="&amp;K$28)+sumifs('000'!$D:$D,'000'!$B:$B,$D36,'000'!$A:$A,"&gt;="&amp;K$27,'000'!$A:$A,"&lt;="&amp;K$28)+sumifs('500'!$D:$D,'500'!$B:$B,$D36,'500'!$A:$A,"&gt;="&amp;K$27,'500'!$A:$A,"&lt;="&amp;K$28)+sumifs('300'!$D:$D,'300'!$B:$B,$D36,'300'!$A:$A,"&gt;="&amp;K$27,'300'!$A:$A,"&lt;="&amp;K$28)+sumifs('600.VPA'!$D:$D,'600.VPA'!$B:$B,$D36,'600.VPA'!$A:$A,"&gt;="&amp;K$27,'600.VPA'!$A:$A,"&lt;="&amp;K$28)</f>
        <v>0</v>
      </c>
      <c r="L36" s="104">
        <f>sumifs(Boss!$D:$D,Boss!$B:$B,$D36,Boss!$A:$A,"&gt;="&amp;L$27,Boss!$A:$A,"&lt;="&amp;L$28)+sumifs(VPA.Director!$D:$D,VPA.Director!$B:$B,$D36,VPA.Director!$A:$A,"&gt;="&amp;L$27,VPA.Director!$A:$A,"&lt;="&amp;L$28)+sumifs(ADC.Director!$D:$D,ADC.Director!$B:$B,$D36,ADC.Director!$A:$A,"&gt;="&amp;L$27,ADC.Director!$A:$A,"&lt;="&amp;L$28)+sumifs('000'!$D:$D,'000'!$B:$B,$D36,'000'!$A:$A,"&gt;="&amp;L$27,'000'!$A:$A,"&lt;="&amp;L$28)+sumifs('500'!$D:$D,'500'!$B:$B,$D36,'500'!$A:$A,"&gt;="&amp;L$27,'500'!$A:$A,"&lt;="&amp;L$28)+sumifs('300'!$D:$D,'300'!$B:$B,$D36,'300'!$A:$A,"&gt;="&amp;L$27,'300'!$A:$A,"&lt;="&amp;L$28)+sumifs('600.VPA'!$D:$D,'600.VPA'!$B:$B,$D36,'600.VPA'!$A:$A,"&gt;="&amp;L$27,'600.VPA'!$A:$A,"&lt;="&amp;L$28)</f>
        <v>0</v>
      </c>
      <c r="M36" s="104">
        <f>sumifs(Boss!$D:$D,Boss!$B:$B,$D36,Boss!$A:$A,"&gt;="&amp;M$27,Boss!$A:$A,"&lt;="&amp;M$28)+sumifs(VPA.Director!$D:$D,VPA.Director!$B:$B,$D36,VPA.Director!$A:$A,"&gt;="&amp;M$27,VPA.Director!$A:$A,"&lt;="&amp;M$28)+sumifs(ADC.Director!$D:$D,ADC.Director!$B:$B,$D36,ADC.Director!$A:$A,"&gt;="&amp;M$27,ADC.Director!$A:$A,"&lt;="&amp;M$28)+sumifs('000'!$D:$D,'000'!$B:$B,$D36,'000'!$A:$A,"&gt;="&amp;M$27,'000'!$A:$A,"&lt;="&amp;M$28)+sumifs('500'!$D:$D,'500'!$B:$B,$D36,'500'!$A:$A,"&gt;="&amp;M$27,'500'!$A:$A,"&lt;="&amp;M$28)+sumifs('300'!$D:$D,'300'!$B:$B,$D36,'300'!$A:$A,"&gt;="&amp;M$27,'300'!$A:$A,"&lt;="&amp;M$28)+sumifs('600.VPA'!$D:$D,'600.VPA'!$B:$B,$D36,'600.VPA'!$A:$A,"&gt;="&amp;M$27,'600.VPA'!$A:$A,"&lt;="&amp;M$28)</f>
        <v>0</v>
      </c>
      <c r="N36" s="104">
        <f>sumifs(Boss!$D:$D,Boss!$B:$B,$D36,Boss!$A:$A,"&gt;="&amp;N$27,Boss!$A:$A,"&lt;="&amp;N$28)+sumifs(VPA.Director!$D:$D,VPA.Director!$B:$B,$D36,VPA.Director!$A:$A,"&gt;="&amp;N$27,VPA.Director!$A:$A,"&lt;="&amp;N$28)+sumifs(ADC.Director!$D:$D,ADC.Director!$B:$B,$D36,ADC.Director!$A:$A,"&gt;="&amp;N$27,ADC.Director!$A:$A,"&lt;="&amp;N$28)+sumifs('000'!$D:$D,'000'!$B:$B,$D36,'000'!$A:$A,"&gt;="&amp;N$27,'000'!$A:$A,"&lt;="&amp;N$28)+sumifs('500'!$D:$D,'500'!$B:$B,$D36,'500'!$A:$A,"&gt;="&amp;N$27,'500'!$A:$A,"&lt;="&amp;N$28)+sumifs('300'!$D:$D,'300'!$B:$B,$D36,'300'!$A:$A,"&gt;="&amp;N$27,'300'!$A:$A,"&lt;="&amp;N$28)+sumifs('600.VPA'!$D:$D,'600.VPA'!$B:$B,$D36,'600.VPA'!$A:$A,"&gt;="&amp;N$27,'600.VPA'!$A:$A,"&lt;="&amp;N$28)</f>
        <v>0</v>
      </c>
      <c r="O36" s="104">
        <f>sumifs(Boss!$D:$D,Boss!$B:$B,$D36,Boss!$A:$A,"&gt;="&amp;O$27,Boss!$A:$A,"&lt;="&amp;O$28)+sumifs(VPA.Director!$D:$D,VPA.Director!$B:$B,$D36,VPA.Director!$A:$A,"&gt;="&amp;O$27,VPA.Director!$A:$A,"&lt;="&amp;O$28)+sumifs(ADC.Director!$D:$D,ADC.Director!$B:$B,$D36,ADC.Director!$A:$A,"&gt;="&amp;O$27,ADC.Director!$A:$A,"&lt;="&amp;O$28)+sumifs('000'!$D:$D,'000'!$B:$B,$D36,'000'!$A:$A,"&gt;="&amp;O$27,'000'!$A:$A,"&lt;="&amp;O$28)+sumifs('500'!$D:$D,'500'!$B:$B,$D36,'500'!$A:$A,"&gt;="&amp;O$27,'500'!$A:$A,"&lt;="&amp;O$28)+sumifs('300'!$D:$D,'300'!$B:$B,$D36,'300'!$A:$A,"&gt;="&amp;O$27,'300'!$A:$A,"&lt;="&amp;O$28)+sumifs('600.VPA'!$D:$D,'600.VPA'!$B:$B,$D36,'600.VPA'!$A:$A,"&gt;="&amp;O$27,'600.VPA'!$A:$A,"&lt;="&amp;O$28)</f>
        <v>0</v>
      </c>
      <c r="P36" s="104">
        <f>sumifs(Boss!$D:$D,Boss!$B:$B,$D36,Boss!$A:$A,"&gt;="&amp;P$27,Boss!$A:$A,"&lt;="&amp;P$28)+sumifs(VPA.Director!$D:$D,VPA.Director!$B:$B,$D36,VPA.Director!$A:$A,"&gt;="&amp;P$27,VPA.Director!$A:$A,"&lt;="&amp;P$28)+sumifs(ADC.Director!$D:$D,ADC.Director!$B:$B,$D36,ADC.Director!$A:$A,"&gt;="&amp;P$27,ADC.Director!$A:$A,"&lt;="&amp;P$28)+sumifs('000'!$D:$D,'000'!$B:$B,$D36,'000'!$A:$A,"&gt;="&amp;P$27,'000'!$A:$A,"&lt;="&amp;P$28)+sumifs('500'!$D:$D,'500'!$B:$B,$D36,'500'!$A:$A,"&gt;="&amp;P$27,'500'!$A:$A,"&lt;="&amp;P$28)+sumifs('300'!$D:$D,'300'!$B:$B,$D36,'300'!$A:$A,"&gt;="&amp;P$27,'300'!$A:$A,"&lt;="&amp;P$28)+sumifs('600.VPA'!$D:$D,'600.VPA'!$B:$B,$D36,'600.VPA'!$A:$A,"&gt;="&amp;P$27,'600.VPA'!$A:$A,"&lt;="&amp;P$28)</f>
        <v>0</v>
      </c>
      <c r="Q36" s="104">
        <f>sumifs(Boss!$D:$D,Boss!$B:$B,$D36,Boss!$A:$A,"&gt;="&amp;Q$27,Boss!$A:$A,"&lt;="&amp;Q$28)+sumifs(VPA.Director!$D:$D,VPA.Director!$B:$B,$D36,VPA.Director!$A:$A,"&gt;="&amp;Q$27,VPA.Director!$A:$A,"&lt;="&amp;Q$28)+sumifs(ADC.Director!$D:$D,ADC.Director!$B:$B,$D36,ADC.Director!$A:$A,"&gt;="&amp;Q$27,ADC.Director!$A:$A,"&lt;="&amp;Q$28)+sumifs('000'!$D:$D,'000'!$B:$B,$D36,'000'!$A:$A,"&gt;="&amp;Q$27,'000'!$A:$A,"&lt;="&amp;Q$28)+sumifs('500'!$D:$D,'500'!$B:$B,$D36,'500'!$A:$A,"&gt;="&amp;Q$27,'500'!$A:$A,"&lt;="&amp;Q$28)+sumifs('300'!$D:$D,'300'!$B:$B,$D36,'300'!$A:$A,"&gt;="&amp;Q$27,'300'!$A:$A,"&lt;="&amp;Q$28)+sumifs('600.VPA'!$D:$D,'600.VPA'!$B:$B,$D36,'600.VPA'!$A:$A,"&gt;="&amp;Q$27,'600.VPA'!$A:$A,"&lt;="&amp;Q$28)</f>
        <v>0</v>
      </c>
      <c r="R36" s="104">
        <f>sumifs(Boss!$D:$D,Boss!$B:$B,$D36,Boss!$A:$A,"&gt;="&amp;R$27,Boss!$A:$A,"&lt;="&amp;R$28)+sumifs(VPA.Director!$D:$D,VPA.Director!$B:$B,$D36,VPA.Director!$A:$A,"&gt;="&amp;R$27,VPA.Director!$A:$A,"&lt;="&amp;R$28)+sumifs(ADC.Director!$D:$D,ADC.Director!$B:$B,$D36,ADC.Director!$A:$A,"&gt;="&amp;R$27,ADC.Director!$A:$A,"&lt;="&amp;R$28)+sumifs('000'!$D:$D,'000'!$B:$B,$D36,'000'!$A:$A,"&gt;="&amp;R$27,'000'!$A:$A,"&lt;="&amp;R$28)+sumifs('500'!$D:$D,'500'!$B:$B,$D36,'500'!$A:$A,"&gt;="&amp;R$27,'500'!$A:$A,"&lt;="&amp;R$28)+sumifs('300'!$D:$D,'300'!$B:$B,$D36,'300'!$A:$A,"&gt;="&amp;R$27,'300'!$A:$A,"&lt;="&amp;R$28)+sumifs('600.VPA'!$D:$D,'600.VPA'!$B:$B,$D36,'600.VPA'!$A:$A,"&gt;="&amp;R$27,'600.VPA'!$A:$A,"&lt;="&amp;R$28)</f>
        <v>0</v>
      </c>
      <c r="S36" s="104">
        <f>sumifs(Boss!$D:$D,Boss!$B:$B,$D36,Boss!$A:$A,"&gt;="&amp;S$27,Boss!$A:$A,"&lt;="&amp;S$28)+sumifs(VPA.Director!$D:$D,VPA.Director!$B:$B,$D36,VPA.Director!$A:$A,"&gt;="&amp;S$27,VPA.Director!$A:$A,"&lt;="&amp;S$28)+sumifs(ADC.Director!$D:$D,ADC.Director!$B:$B,$D36,ADC.Director!$A:$A,"&gt;="&amp;S$27,ADC.Director!$A:$A,"&lt;="&amp;S$28)+sumifs('000'!$D:$D,'000'!$B:$B,$D36,'000'!$A:$A,"&gt;="&amp;S$27,'000'!$A:$A,"&lt;="&amp;S$28)+sumifs('500'!$D:$D,'500'!$B:$B,$D36,'500'!$A:$A,"&gt;="&amp;S$27,'500'!$A:$A,"&lt;="&amp;S$28)+sumifs('300'!$D:$D,'300'!$B:$B,$D36,'300'!$A:$A,"&gt;="&amp;S$27,'300'!$A:$A,"&lt;="&amp;S$28)+sumifs('600.VPA'!$D:$D,'600.VPA'!$B:$B,$D36,'600.VPA'!$A:$A,"&gt;="&amp;S$27,'600.VPA'!$A:$A,"&lt;="&amp;S$28)</f>
        <v>0</v>
      </c>
      <c r="T36" s="104">
        <f>sumifs(Boss!$D:$D,Boss!$B:$B,$D36,Boss!$A:$A,"&gt;="&amp;T$27,Boss!$A:$A,"&lt;="&amp;T$28)+sumifs(VPA.Director!$D:$D,VPA.Director!$B:$B,$D36,VPA.Director!$A:$A,"&gt;="&amp;T$27,VPA.Director!$A:$A,"&lt;="&amp;T$28)+sumifs(ADC.Director!$D:$D,ADC.Director!$B:$B,$D36,ADC.Director!$A:$A,"&gt;="&amp;T$27,ADC.Director!$A:$A,"&lt;="&amp;T$28)+sumifs('000'!$D:$D,'000'!$B:$B,$D36,'000'!$A:$A,"&gt;="&amp;T$27,'000'!$A:$A,"&lt;="&amp;T$28)+sumifs('500'!$D:$D,'500'!$B:$B,$D36,'500'!$A:$A,"&gt;="&amp;T$27,'500'!$A:$A,"&lt;="&amp;T$28)+sumifs('300'!$D:$D,'300'!$B:$B,$D36,'300'!$A:$A,"&gt;="&amp;T$27,'300'!$A:$A,"&lt;="&amp;T$28)+sumifs('600.VPA'!$D:$D,'600.VPA'!$B:$B,$D36,'600.VPA'!$A:$A,"&gt;="&amp;T$27,'600.VPA'!$A:$A,"&lt;="&amp;T$28)</f>
        <v>0</v>
      </c>
      <c r="U36" s="86"/>
      <c r="V36" s="105">
        <f t="shared" si="1"/>
        <v>0</v>
      </c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7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</row>
    <row r="37" hidden="1">
      <c r="A37" s="86"/>
      <c r="B37" s="100"/>
      <c r="D37" s="102" t="s">
        <v>65</v>
      </c>
      <c r="E37" s="103" t="s">
        <v>12</v>
      </c>
      <c r="F37" s="102" t="s">
        <v>66</v>
      </c>
      <c r="G37" s="102" t="s">
        <v>67</v>
      </c>
      <c r="H37" s="102" t="s">
        <v>68</v>
      </c>
      <c r="I37" s="104">
        <f>sumifs(Boss!$D:$D,Boss!$B:$B,$D37,Boss!$A:$A,"&gt;="&amp;I$27,Boss!$A:$A,"&lt;="&amp;I$28)+sumifs(VPA.Director!$D:$D,VPA.Director!$B:$B,$D37,VPA.Director!$A:$A,"&gt;="&amp;I$27,VPA.Director!$A:$A,"&lt;="&amp;I$28)+sumifs(ADC.Director!$D:$D,ADC.Director!$B:$B,$D37,ADC.Director!$A:$A,"&gt;="&amp;I$27,ADC.Director!$A:$A,"&lt;="&amp;I$28)+sumifs('000'!$D:$D,'000'!$B:$B,$D37,'000'!$A:$A,"&gt;="&amp;I$27,'000'!$A:$A,"&lt;="&amp;I$28)+sumifs('500'!$D:$D,'500'!$B:$B,$D37,'500'!$A:$A,"&gt;="&amp;I$27,'500'!$A:$A,"&lt;="&amp;I$28)+sumifs('300'!$D:$D,'300'!$B:$B,$D37,'300'!$A:$A,"&gt;="&amp;I$27,'300'!$A:$A,"&lt;="&amp;I$28)+sumifs('600.VPA'!$D:$D,'600.VPA'!$B:$B,$D37,'600.VPA'!$A:$A,"&gt;="&amp;I$27,'600.VPA'!$A:$A,"&lt;="&amp;I$28)</f>
        <v>0</v>
      </c>
      <c r="J37" s="104">
        <f>sumifs(Boss!$D:$D,Boss!$B:$B,$D37,Boss!$A:$A,"&gt;="&amp;J$27,Boss!$A:$A,"&lt;="&amp;J$28)+sumifs(VPA.Director!$D:$D,VPA.Director!$B:$B,$D37,VPA.Director!$A:$A,"&gt;="&amp;J$27,VPA.Director!$A:$A,"&lt;="&amp;J$28)+sumifs(ADC.Director!$D:$D,ADC.Director!$B:$B,$D37,ADC.Director!$A:$A,"&gt;="&amp;J$27,ADC.Director!$A:$A,"&lt;="&amp;J$28)+sumifs('000'!$D:$D,'000'!$B:$B,$D37,'000'!$A:$A,"&gt;="&amp;J$27,'000'!$A:$A,"&lt;="&amp;J$28)+sumifs('500'!$D:$D,'500'!$B:$B,$D37,'500'!$A:$A,"&gt;="&amp;J$27,'500'!$A:$A,"&lt;="&amp;J$28)+sumifs('300'!$D:$D,'300'!$B:$B,$D37,'300'!$A:$A,"&gt;="&amp;J$27,'300'!$A:$A,"&lt;="&amp;J$28)+sumifs('600.VPA'!$D:$D,'600.VPA'!$B:$B,$D37,'600.VPA'!$A:$A,"&gt;="&amp;J$27,'600.VPA'!$A:$A,"&lt;="&amp;J$28)</f>
        <v>0</v>
      </c>
      <c r="K37" s="104">
        <f>sumifs(Boss!$D:$D,Boss!$B:$B,$D37,Boss!$A:$A,"&gt;="&amp;K$27,Boss!$A:$A,"&lt;="&amp;K$28)+sumifs(VPA.Director!$D:$D,VPA.Director!$B:$B,$D37,VPA.Director!$A:$A,"&gt;="&amp;K$27,VPA.Director!$A:$A,"&lt;="&amp;K$28)+sumifs(ADC.Director!$D:$D,ADC.Director!$B:$B,$D37,ADC.Director!$A:$A,"&gt;="&amp;K$27,ADC.Director!$A:$A,"&lt;="&amp;K$28)+sumifs('000'!$D:$D,'000'!$B:$B,$D37,'000'!$A:$A,"&gt;="&amp;K$27,'000'!$A:$A,"&lt;="&amp;K$28)+sumifs('500'!$D:$D,'500'!$B:$B,$D37,'500'!$A:$A,"&gt;="&amp;K$27,'500'!$A:$A,"&lt;="&amp;K$28)+sumifs('300'!$D:$D,'300'!$B:$B,$D37,'300'!$A:$A,"&gt;="&amp;K$27,'300'!$A:$A,"&lt;="&amp;K$28)+sumifs('600.VPA'!$D:$D,'600.VPA'!$B:$B,$D37,'600.VPA'!$A:$A,"&gt;="&amp;K$27,'600.VPA'!$A:$A,"&lt;="&amp;K$28)</f>
        <v>0</v>
      </c>
      <c r="L37" s="104">
        <f>sumifs(Boss!$D:$D,Boss!$B:$B,$D37,Boss!$A:$A,"&gt;="&amp;L$27,Boss!$A:$A,"&lt;="&amp;L$28)+sumifs(VPA.Director!$D:$D,VPA.Director!$B:$B,$D37,VPA.Director!$A:$A,"&gt;="&amp;L$27,VPA.Director!$A:$A,"&lt;="&amp;L$28)+sumifs(ADC.Director!$D:$D,ADC.Director!$B:$B,$D37,ADC.Director!$A:$A,"&gt;="&amp;L$27,ADC.Director!$A:$A,"&lt;="&amp;L$28)+sumifs('000'!$D:$D,'000'!$B:$B,$D37,'000'!$A:$A,"&gt;="&amp;L$27,'000'!$A:$A,"&lt;="&amp;L$28)+sumifs('500'!$D:$D,'500'!$B:$B,$D37,'500'!$A:$A,"&gt;="&amp;L$27,'500'!$A:$A,"&lt;="&amp;L$28)+sumifs('300'!$D:$D,'300'!$B:$B,$D37,'300'!$A:$A,"&gt;="&amp;L$27,'300'!$A:$A,"&lt;="&amp;L$28)+sumifs('600.VPA'!$D:$D,'600.VPA'!$B:$B,$D37,'600.VPA'!$A:$A,"&gt;="&amp;L$27,'600.VPA'!$A:$A,"&lt;="&amp;L$28)</f>
        <v>0</v>
      </c>
      <c r="M37" s="104">
        <f>sumifs(Boss!$D:$D,Boss!$B:$B,$D37,Boss!$A:$A,"&gt;="&amp;M$27,Boss!$A:$A,"&lt;="&amp;M$28)+sumifs(VPA.Director!$D:$D,VPA.Director!$B:$B,$D37,VPA.Director!$A:$A,"&gt;="&amp;M$27,VPA.Director!$A:$A,"&lt;="&amp;M$28)+sumifs(ADC.Director!$D:$D,ADC.Director!$B:$B,$D37,ADC.Director!$A:$A,"&gt;="&amp;M$27,ADC.Director!$A:$A,"&lt;="&amp;M$28)+sumifs('000'!$D:$D,'000'!$B:$B,$D37,'000'!$A:$A,"&gt;="&amp;M$27,'000'!$A:$A,"&lt;="&amp;M$28)+sumifs('500'!$D:$D,'500'!$B:$B,$D37,'500'!$A:$A,"&gt;="&amp;M$27,'500'!$A:$A,"&lt;="&amp;M$28)+sumifs('300'!$D:$D,'300'!$B:$B,$D37,'300'!$A:$A,"&gt;="&amp;M$27,'300'!$A:$A,"&lt;="&amp;M$28)+sumifs('600.VPA'!$D:$D,'600.VPA'!$B:$B,$D37,'600.VPA'!$A:$A,"&gt;="&amp;M$27,'600.VPA'!$A:$A,"&lt;="&amp;M$28)</f>
        <v>0</v>
      </c>
      <c r="N37" s="104">
        <f>sumifs(Boss!$D:$D,Boss!$B:$B,$D37,Boss!$A:$A,"&gt;="&amp;N$27,Boss!$A:$A,"&lt;="&amp;N$28)+sumifs(VPA.Director!$D:$D,VPA.Director!$B:$B,$D37,VPA.Director!$A:$A,"&gt;="&amp;N$27,VPA.Director!$A:$A,"&lt;="&amp;N$28)+sumifs(ADC.Director!$D:$D,ADC.Director!$B:$B,$D37,ADC.Director!$A:$A,"&gt;="&amp;N$27,ADC.Director!$A:$A,"&lt;="&amp;N$28)+sumifs('000'!$D:$D,'000'!$B:$B,$D37,'000'!$A:$A,"&gt;="&amp;N$27,'000'!$A:$A,"&lt;="&amp;N$28)+sumifs('500'!$D:$D,'500'!$B:$B,$D37,'500'!$A:$A,"&gt;="&amp;N$27,'500'!$A:$A,"&lt;="&amp;N$28)+sumifs('300'!$D:$D,'300'!$B:$B,$D37,'300'!$A:$A,"&gt;="&amp;N$27,'300'!$A:$A,"&lt;="&amp;N$28)+sumifs('600.VPA'!$D:$D,'600.VPA'!$B:$B,$D37,'600.VPA'!$A:$A,"&gt;="&amp;N$27,'600.VPA'!$A:$A,"&lt;="&amp;N$28)</f>
        <v>0</v>
      </c>
      <c r="O37" s="104">
        <f>sumifs(Boss!$D:$D,Boss!$B:$B,$D37,Boss!$A:$A,"&gt;="&amp;O$27,Boss!$A:$A,"&lt;="&amp;O$28)+sumifs(VPA.Director!$D:$D,VPA.Director!$B:$B,$D37,VPA.Director!$A:$A,"&gt;="&amp;O$27,VPA.Director!$A:$A,"&lt;="&amp;O$28)+sumifs(ADC.Director!$D:$D,ADC.Director!$B:$B,$D37,ADC.Director!$A:$A,"&gt;="&amp;O$27,ADC.Director!$A:$A,"&lt;="&amp;O$28)+sumifs('000'!$D:$D,'000'!$B:$B,$D37,'000'!$A:$A,"&gt;="&amp;O$27,'000'!$A:$A,"&lt;="&amp;O$28)+sumifs('500'!$D:$D,'500'!$B:$B,$D37,'500'!$A:$A,"&gt;="&amp;O$27,'500'!$A:$A,"&lt;="&amp;O$28)+sumifs('300'!$D:$D,'300'!$B:$B,$D37,'300'!$A:$A,"&gt;="&amp;O$27,'300'!$A:$A,"&lt;="&amp;O$28)+sumifs('600.VPA'!$D:$D,'600.VPA'!$B:$B,$D37,'600.VPA'!$A:$A,"&gt;="&amp;O$27,'600.VPA'!$A:$A,"&lt;="&amp;O$28)</f>
        <v>0</v>
      </c>
      <c r="P37" s="104">
        <f>sumifs(Boss!$D:$D,Boss!$B:$B,$D37,Boss!$A:$A,"&gt;="&amp;P$27,Boss!$A:$A,"&lt;="&amp;P$28)+sumifs(VPA.Director!$D:$D,VPA.Director!$B:$B,$D37,VPA.Director!$A:$A,"&gt;="&amp;P$27,VPA.Director!$A:$A,"&lt;="&amp;P$28)+sumifs(ADC.Director!$D:$D,ADC.Director!$B:$B,$D37,ADC.Director!$A:$A,"&gt;="&amp;P$27,ADC.Director!$A:$A,"&lt;="&amp;P$28)+sumifs('000'!$D:$D,'000'!$B:$B,$D37,'000'!$A:$A,"&gt;="&amp;P$27,'000'!$A:$A,"&lt;="&amp;P$28)+sumifs('500'!$D:$D,'500'!$B:$B,$D37,'500'!$A:$A,"&gt;="&amp;P$27,'500'!$A:$A,"&lt;="&amp;P$28)+sumifs('300'!$D:$D,'300'!$B:$B,$D37,'300'!$A:$A,"&gt;="&amp;P$27,'300'!$A:$A,"&lt;="&amp;P$28)+sumifs('600.VPA'!$D:$D,'600.VPA'!$B:$B,$D37,'600.VPA'!$A:$A,"&gt;="&amp;P$27,'600.VPA'!$A:$A,"&lt;="&amp;P$28)</f>
        <v>0</v>
      </c>
      <c r="Q37" s="104">
        <f>sumifs(Boss!$D:$D,Boss!$B:$B,$D37,Boss!$A:$A,"&gt;="&amp;Q$27,Boss!$A:$A,"&lt;="&amp;Q$28)+sumifs(VPA.Director!$D:$D,VPA.Director!$B:$B,$D37,VPA.Director!$A:$A,"&gt;="&amp;Q$27,VPA.Director!$A:$A,"&lt;="&amp;Q$28)+sumifs(ADC.Director!$D:$D,ADC.Director!$B:$B,$D37,ADC.Director!$A:$A,"&gt;="&amp;Q$27,ADC.Director!$A:$A,"&lt;="&amp;Q$28)+sumifs('000'!$D:$D,'000'!$B:$B,$D37,'000'!$A:$A,"&gt;="&amp;Q$27,'000'!$A:$A,"&lt;="&amp;Q$28)+sumifs('500'!$D:$D,'500'!$B:$B,$D37,'500'!$A:$A,"&gt;="&amp;Q$27,'500'!$A:$A,"&lt;="&amp;Q$28)+sumifs('300'!$D:$D,'300'!$B:$B,$D37,'300'!$A:$A,"&gt;="&amp;Q$27,'300'!$A:$A,"&lt;="&amp;Q$28)+sumifs('600.VPA'!$D:$D,'600.VPA'!$B:$B,$D37,'600.VPA'!$A:$A,"&gt;="&amp;Q$27,'600.VPA'!$A:$A,"&lt;="&amp;Q$28)</f>
        <v>0</v>
      </c>
      <c r="R37" s="104">
        <f>sumifs(Boss!$D:$D,Boss!$B:$B,$D37,Boss!$A:$A,"&gt;="&amp;R$27,Boss!$A:$A,"&lt;="&amp;R$28)+sumifs(VPA.Director!$D:$D,VPA.Director!$B:$B,$D37,VPA.Director!$A:$A,"&gt;="&amp;R$27,VPA.Director!$A:$A,"&lt;="&amp;R$28)+sumifs(ADC.Director!$D:$D,ADC.Director!$B:$B,$D37,ADC.Director!$A:$A,"&gt;="&amp;R$27,ADC.Director!$A:$A,"&lt;="&amp;R$28)+sumifs('000'!$D:$D,'000'!$B:$B,$D37,'000'!$A:$A,"&gt;="&amp;R$27,'000'!$A:$A,"&lt;="&amp;R$28)+sumifs('500'!$D:$D,'500'!$B:$B,$D37,'500'!$A:$A,"&gt;="&amp;R$27,'500'!$A:$A,"&lt;="&amp;R$28)+sumifs('300'!$D:$D,'300'!$B:$B,$D37,'300'!$A:$A,"&gt;="&amp;R$27,'300'!$A:$A,"&lt;="&amp;R$28)+sumifs('600.VPA'!$D:$D,'600.VPA'!$B:$B,$D37,'600.VPA'!$A:$A,"&gt;="&amp;R$27,'600.VPA'!$A:$A,"&lt;="&amp;R$28)</f>
        <v>0</v>
      </c>
      <c r="S37" s="104">
        <f>sumifs(Boss!$D:$D,Boss!$B:$B,$D37,Boss!$A:$A,"&gt;="&amp;S$27,Boss!$A:$A,"&lt;="&amp;S$28)+sumifs(VPA.Director!$D:$D,VPA.Director!$B:$B,$D37,VPA.Director!$A:$A,"&gt;="&amp;S$27,VPA.Director!$A:$A,"&lt;="&amp;S$28)+sumifs(ADC.Director!$D:$D,ADC.Director!$B:$B,$D37,ADC.Director!$A:$A,"&gt;="&amp;S$27,ADC.Director!$A:$A,"&lt;="&amp;S$28)+sumifs('000'!$D:$D,'000'!$B:$B,$D37,'000'!$A:$A,"&gt;="&amp;S$27,'000'!$A:$A,"&lt;="&amp;S$28)+sumifs('500'!$D:$D,'500'!$B:$B,$D37,'500'!$A:$A,"&gt;="&amp;S$27,'500'!$A:$A,"&lt;="&amp;S$28)+sumifs('300'!$D:$D,'300'!$B:$B,$D37,'300'!$A:$A,"&gt;="&amp;S$27,'300'!$A:$A,"&lt;="&amp;S$28)+sumifs('600.VPA'!$D:$D,'600.VPA'!$B:$B,$D37,'600.VPA'!$A:$A,"&gt;="&amp;S$27,'600.VPA'!$A:$A,"&lt;="&amp;S$28)</f>
        <v>0</v>
      </c>
      <c r="T37" s="104">
        <f>sumifs(Boss!$D:$D,Boss!$B:$B,$D37,Boss!$A:$A,"&gt;="&amp;T$27,Boss!$A:$A,"&lt;="&amp;T$28)+sumifs(VPA.Director!$D:$D,VPA.Director!$B:$B,$D37,VPA.Director!$A:$A,"&gt;="&amp;T$27,VPA.Director!$A:$A,"&lt;="&amp;T$28)+sumifs(ADC.Director!$D:$D,ADC.Director!$B:$B,$D37,ADC.Director!$A:$A,"&gt;="&amp;T$27,ADC.Director!$A:$A,"&lt;="&amp;T$28)+sumifs('000'!$D:$D,'000'!$B:$B,$D37,'000'!$A:$A,"&gt;="&amp;T$27,'000'!$A:$A,"&lt;="&amp;T$28)+sumifs('500'!$D:$D,'500'!$B:$B,$D37,'500'!$A:$A,"&gt;="&amp;T$27,'500'!$A:$A,"&lt;="&amp;T$28)+sumifs('300'!$D:$D,'300'!$B:$B,$D37,'300'!$A:$A,"&gt;="&amp;T$27,'300'!$A:$A,"&lt;="&amp;T$28)+sumifs('600.VPA'!$D:$D,'600.VPA'!$B:$B,$D37,'600.VPA'!$A:$A,"&gt;="&amp;T$27,'600.VPA'!$A:$A,"&lt;="&amp;T$28)</f>
        <v>0</v>
      </c>
      <c r="U37" s="86"/>
      <c r="V37" s="105">
        <f t="shared" si="1"/>
        <v>0</v>
      </c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7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</row>
    <row r="38" hidden="1">
      <c r="A38" s="86"/>
      <c r="B38" s="100"/>
      <c r="D38" s="102" t="s">
        <v>69</v>
      </c>
      <c r="E38" s="103" t="s">
        <v>13</v>
      </c>
      <c r="F38" s="102" t="s">
        <v>70</v>
      </c>
      <c r="G38" s="102" t="s">
        <v>71</v>
      </c>
      <c r="H38" s="102" t="s">
        <v>72</v>
      </c>
      <c r="I38" s="104">
        <f>sumifs(Boss!$D:$D,Boss!$B:$B,$D38,Boss!$A:$A,"&gt;="&amp;I$27,Boss!$A:$A,"&lt;="&amp;I$28)+sumifs(VPA.Director!$D:$D,VPA.Director!$B:$B,$D38,VPA.Director!$A:$A,"&gt;="&amp;I$27,VPA.Director!$A:$A,"&lt;="&amp;I$28)+sumifs(ADC.Director!$D:$D,ADC.Director!$B:$B,$D38,ADC.Director!$A:$A,"&gt;="&amp;I$27,ADC.Director!$A:$A,"&lt;="&amp;I$28)+sumifs('000'!$D:$D,'000'!$B:$B,$D38,'000'!$A:$A,"&gt;="&amp;I$27,'000'!$A:$A,"&lt;="&amp;I$28)+sumifs('500'!$D:$D,'500'!$B:$B,$D38,'500'!$A:$A,"&gt;="&amp;I$27,'500'!$A:$A,"&lt;="&amp;I$28)+sumifs('300'!$D:$D,'300'!$B:$B,$D38,'300'!$A:$A,"&gt;="&amp;I$27,'300'!$A:$A,"&lt;="&amp;I$28)+sumifs('600.VPA'!$D:$D,'600.VPA'!$B:$B,$D38,'600.VPA'!$A:$A,"&gt;="&amp;I$27,'600.VPA'!$A:$A,"&lt;="&amp;I$28)</f>
        <v>0</v>
      </c>
      <c r="J38" s="104">
        <f>sumifs(Boss!$D:$D,Boss!$B:$B,$D38,Boss!$A:$A,"&gt;="&amp;J$27,Boss!$A:$A,"&lt;="&amp;J$28)+sumifs(VPA.Director!$D:$D,VPA.Director!$B:$B,$D38,VPA.Director!$A:$A,"&gt;="&amp;J$27,VPA.Director!$A:$A,"&lt;="&amp;J$28)+sumifs(ADC.Director!$D:$D,ADC.Director!$B:$B,$D38,ADC.Director!$A:$A,"&gt;="&amp;J$27,ADC.Director!$A:$A,"&lt;="&amp;J$28)+sumifs('000'!$D:$D,'000'!$B:$B,$D38,'000'!$A:$A,"&gt;="&amp;J$27,'000'!$A:$A,"&lt;="&amp;J$28)+sumifs('500'!$D:$D,'500'!$B:$B,$D38,'500'!$A:$A,"&gt;="&amp;J$27,'500'!$A:$A,"&lt;="&amp;J$28)+sumifs('300'!$D:$D,'300'!$B:$B,$D38,'300'!$A:$A,"&gt;="&amp;J$27,'300'!$A:$A,"&lt;="&amp;J$28)+sumifs('600.VPA'!$D:$D,'600.VPA'!$B:$B,$D38,'600.VPA'!$A:$A,"&gt;="&amp;J$27,'600.VPA'!$A:$A,"&lt;="&amp;J$28)</f>
        <v>0</v>
      </c>
      <c r="K38" s="104">
        <f>sumifs(Boss!$D:$D,Boss!$B:$B,$D38,Boss!$A:$A,"&gt;="&amp;K$27,Boss!$A:$A,"&lt;="&amp;K$28)+sumifs(VPA.Director!$D:$D,VPA.Director!$B:$B,$D38,VPA.Director!$A:$A,"&gt;="&amp;K$27,VPA.Director!$A:$A,"&lt;="&amp;K$28)+sumifs(ADC.Director!$D:$D,ADC.Director!$B:$B,$D38,ADC.Director!$A:$A,"&gt;="&amp;K$27,ADC.Director!$A:$A,"&lt;="&amp;K$28)+sumifs('000'!$D:$D,'000'!$B:$B,$D38,'000'!$A:$A,"&gt;="&amp;K$27,'000'!$A:$A,"&lt;="&amp;K$28)+sumifs('500'!$D:$D,'500'!$B:$B,$D38,'500'!$A:$A,"&gt;="&amp;K$27,'500'!$A:$A,"&lt;="&amp;K$28)+sumifs('300'!$D:$D,'300'!$B:$B,$D38,'300'!$A:$A,"&gt;="&amp;K$27,'300'!$A:$A,"&lt;="&amp;K$28)+sumifs('600.VPA'!$D:$D,'600.VPA'!$B:$B,$D38,'600.VPA'!$A:$A,"&gt;="&amp;K$27,'600.VPA'!$A:$A,"&lt;="&amp;K$28)</f>
        <v>0</v>
      </c>
      <c r="L38" s="104">
        <f>sumifs(Boss!$D:$D,Boss!$B:$B,$D38,Boss!$A:$A,"&gt;="&amp;L$27,Boss!$A:$A,"&lt;="&amp;L$28)+sumifs(VPA.Director!$D:$D,VPA.Director!$B:$B,$D38,VPA.Director!$A:$A,"&gt;="&amp;L$27,VPA.Director!$A:$A,"&lt;="&amp;L$28)+sumifs(ADC.Director!$D:$D,ADC.Director!$B:$B,$D38,ADC.Director!$A:$A,"&gt;="&amp;L$27,ADC.Director!$A:$A,"&lt;="&amp;L$28)+sumifs('000'!$D:$D,'000'!$B:$B,$D38,'000'!$A:$A,"&gt;="&amp;L$27,'000'!$A:$A,"&lt;="&amp;L$28)+sumifs('500'!$D:$D,'500'!$B:$B,$D38,'500'!$A:$A,"&gt;="&amp;L$27,'500'!$A:$A,"&lt;="&amp;L$28)+sumifs('300'!$D:$D,'300'!$B:$B,$D38,'300'!$A:$A,"&gt;="&amp;L$27,'300'!$A:$A,"&lt;="&amp;L$28)+sumifs('600.VPA'!$D:$D,'600.VPA'!$B:$B,$D38,'600.VPA'!$A:$A,"&gt;="&amp;L$27,'600.VPA'!$A:$A,"&lt;="&amp;L$28)</f>
        <v>0</v>
      </c>
      <c r="M38" s="104">
        <f>sumifs(Boss!$D:$D,Boss!$B:$B,$D38,Boss!$A:$A,"&gt;="&amp;M$27,Boss!$A:$A,"&lt;="&amp;M$28)+sumifs(VPA.Director!$D:$D,VPA.Director!$B:$B,$D38,VPA.Director!$A:$A,"&gt;="&amp;M$27,VPA.Director!$A:$A,"&lt;="&amp;M$28)+sumifs(ADC.Director!$D:$D,ADC.Director!$B:$B,$D38,ADC.Director!$A:$A,"&gt;="&amp;M$27,ADC.Director!$A:$A,"&lt;="&amp;M$28)+sumifs('000'!$D:$D,'000'!$B:$B,$D38,'000'!$A:$A,"&gt;="&amp;M$27,'000'!$A:$A,"&lt;="&amp;M$28)+sumifs('500'!$D:$D,'500'!$B:$B,$D38,'500'!$A:$A,"&gt;="&amp;M$27,'500'!$A:$A,"&lt;="&amp;M$28)+sumifs('300'!$D:$D,'300'!$B:$B,$D38,'300'!$A:$A,"&gt;="&amp;M$27,'300'!$A:$A,"&lt;="&amp;M$28)+sumifs('600.VPA'!$D:$D,'600.VPA'!$B:$B,$D38,'600.VPA'!$A:$A,"&gt;="&amp;M$27,'600.VPA'!$A:$A,"&lt;="&amp;M$28)</f>
        <v>0</v>
      </c>
      <c r="N38" s="104">
        <f>sumifs(Boss!$D:$D,Boss!$B:$B,$D38,Boss!$A:$A,"&gt;="&amp;N$27,Boss!$A:$A,"&lt;="&amp;N$28)+sumifs(VPA.Director!$D:$D,VPA.Director!$B:$B,$D38,VPA.Director!$A:$A,"&gt;="&amp;N$27,VPA.Director!$A:$A,"&lt;="&amp;N$28)+sumifs(ADC.Director!$D:$D,ADC.Director!$B:$B,$D38,ADC.Director!$A:$A,"&gt;="&amp;N$27,ADC.Director!$A:$A,"&lt;="&amp;N$28)+sumifs('000'!$D:$D,'000'!$B:$B,$D38,'000'!$A:$A,"&gt;="&amp;N$27,'000'!$A:$A,"&lt;="&amp;N$28)+sumifs('500'!$D:$D,'500'!$B:$B,$D38,'500'!$A:$A,"&gt;="&amp;N$27,'500'!$A:$A,"&lt;="&amp;N$28)+sumifs('300'!$D:$D,'300'!$B:$B,$D38,'300'!$A:$A,"&gt;="&amp;N$27,'300'!$A:$A,"&lt;="&amp;N$28)+sumifs('600.VPA'!$D:$D,'600.VPA'!$B:$B,$D38,'600.VPA'!$A:$A,"&gt;="&amp;N$27,'600.VPA'!$A:$A,"&lt;="&amp;N$28)</f>
        <v>0</v>
      </c>
      <c r="O38" s="104">
        <f>sumifs(Boss!$D:$D,Boss!$B:$B,$D38,Boss!$A:$A,"&gt;="&amp;O$27,Boss!$A:$A,"&lt;="&amp;O$28)+sumifs(VPA.Director!$D:$D,VPA.Director!$B:$B,$D38,VPA.Director!$A:$A,"&gt;="&amp;O$27,VPA.Director!$A:$A,"&lt;="&amp;O$28)+sumifs(ADC.Director!$D:$D,ADC.Director!$B:$B,$D38,ADC.Director!$A:$A,"&gt;="&amp;O$27,ADC.Director!$A:$A,"&lt;="&amp;O$28)+sumifs('000'!$D:$D,'000'!$B:$B,$D38,'000'!$A:$A,"&gt;="&amp;O$27,'000'!$A:$A,"&lt;="&amp;O$28)+sumifs('500'!$D:$D,'500'!$B:$B,$D38,'500'!$A:$A,"&gt;="&amp;O$27,'500'!$A:$A,"&lt;="&amp;O$28)+sumifs('300'!$D:$D,'300'!$B:$B,$D38,'300'!$A:$A,"&gt;="&amp;O$27,'300'!$A:$A,"&lt;="&amp;O$28)+sumifs('600.VPA'!$D:$D,'600.VPA'!$B:$B,$D38,'600.VPA'!$A:$A,"&gt;="&amp;O$27,'600.VPA'!$A:$A,"&lt;="&amp;O$28)</f>
        <v>0</v>
      </c>
      <c r="P38" s="104">
        <f>sumifs(Boss!$D:$D,Boss!$B:$B,$D38,Boss!$A:$A,"&gt;="&amp;P$27,Boss!$A:$A,"&lt;="&amp;P$28)+sumifs(VPA.Director!$D:$D,VPA.Director!$B:$B,$D38,VPA.Director!$A:$A,"&gt;="&amp;P$27,VPA.Director!$A:$A,"&lt;="&amp;P$28)+sumifs(ADC.Director!$D:$D,ADC.Director!$B:$B,$D38,ADC.Director!$A:$A,"&gt;="&amp;P$27,ADC.Director!$A:$A,"&lt;="&amp;P$28)+sumifs('000'!$D:$D,'000'!$B:$B,$D38,'000'!$A:$A,"&gt;="&amp;P$27,'000'!$A:$A,"&lt;="&amp;P$28)+sumifs('500'!$D:$D,'500'!$B:$B,$D38,'500'!$A:$A,"&gt;="&amp;P$27,'500'!$A:$A,"&lt;="&amp;P$28)+sumifs('300'!$D:$D,'300'!$B:$B,$D38,'300'!$A:$A,"&gt;="&amp;P$27,'300'!$A:$A,"&lt;="&amp;P$28)+sumifs('600.VPA'!$D:$D,'600.VPA'!$B:$B,$D38,'600.VPA'!$A:$A,"&gt;="&amp;P$27,'600.VPA'!$A:$A,"&lt;="&amp;P$28)</f>
        <v>0</v>
      </c>
      <c r="Q38" s="104">
        <f>sumifs(Boss!$D:$D,Boss!$B:$B,$D38,Boss!$A:$A,"&gt;="&amp;Q$27,Boss!$A:$A,"&lt;="&amp;Q$28)+sumifs(VPA.Director!$D:$D,VPA.Director!$B:$B,$D38,VPA.Director!$A:$A,"&gt;="&amp;Q$27,VPA.Director!$A:$A,"&lt;="&amp;Q$28)+sumifs(ADC.Director!$D:$D,ADC.Director!$B:$B,$D38,ADC.Director!$A:$A,"&gt;="&amp;Q$27,ADC.Director!$A:$A,"&lt;="&amp;Q$28)+sumifs('000'!$D:$D,'000'!$B:$B,$D38,'000'!$A:$A,"&gt;="&amp;Q$27,'000'!$A:$A,"&lt;="&amp;Q$28)+sumifs('500'!$D:$D,'500'!$B:$B,$D38,'500'!$A:$A,"&gt;="&amp;Q$27,'500'!$A:$A,"&lt;="&amp;Q$28)+sumifs('300'!$D:$D,'300'!$B:$B,$D38,'300'!$A:$A,"&gt;="&amp;Q$27,'300'!$A:$A,"&lt;="&amp;Q$28)+sumifs('600.VPA'!$D:$D,'600.VPA'!$B:$B,$D38,'600.VPA'!$A:$A,"&gt;="&amp;Q$27,'600.VPA'!$A:$A,"&lt;="&amp;Q$28)</f>
        <v>0</v>
      </c>
      <c r="R38" s="104">
        <f>sumifs(Boss!$D:$D,Boss!$B:$B,$D38,Boss!$A:$A,"&gt;="&amp;R$27,Boss!$A:$A,"&lt;="&amp;R$28)+sumifs(VPA.Director!$D:$D,VPA.Director!$B:$B,$D38,VPA.Director!$A:$A,"&gt;="&amp;R$27,VPA.Director!$A:$A,"&lt;="&amp;R$28)+sumifs(ADC.Director!$D:$D,ADC.Director!$B:$B,$D38,ADC.Director!$A:$A,"&gt;="&amp;R$27,ADC.Director!$A:$A,"&lt;="&amp;R$28)+sumifs('000'!$D:$D,'000'!$B:$B,$D38,'000'!$A:$A,"&gt;="&amp;R$27,'000'!$A:$A,"&lt;="&amp;R$28)+sumifs('500'!$D:$D,'500'!$B:$B,$D38,'500'!$A:$A,"&gt;="&amp;R$27,'500'!$A:$A,"&lt;="&amp;R$28)+sumifs('300'!$D:$D,'300'!$B:$B,$D38,'300'!$A:$A,"&gt;="&amp;R$27,'300'!$A:$A,"&lt;="&amp;R$28)+sumifs('600.VPA'!$D:$D,'600.VPA'!$B:$B,$D38,'600.VPA'!$A:$A,"&gt;="&amp;R$27,'600.VPA'!$A:$A,"&lt;="&amp;R$28)</f>
        <v>0</v>
      </c>
      <c r="S38" s="104">
        <f>sumifs(Boss!$D:$D,Boss!$B:$B,$D38,Boss!$A:$A,"&gt;="&amp;S$27,Boss!$A:$A,"&lt;="&amp;S$28)+sumifs(VPA.Director!$D:$D,VPA.Director!$B:$B,$D38,VPA.Director!$A:$A,"&gt;="&amp;S$27,VPA.Director!$A:$A,"&lt;="&amp;S$28)+sumifs(ADC.Director!$D:$D,ADC.Director!$B:$B,$D38,ADC.Director!$A:$A,"&gt;="&amp;S$27,ADC.Director!$A:$A,"&lt;="&amp;S$28)+sumifs('000'!$D:$D,'000'!$B:$B,$D38,'000'!$A:$A,"&gt;="&amp;S$27,'000'!$A:$A,"&lt;="&amp;S$28)+sumifs('500'!$D:$D,'500'!$B:$B,$D38,'500'!$A:$A,"&gt;="&amp;S$27,'500'!$A:$A,"&lt;="&amp;S$28)+sumifs('300'!$D:$D,'300'!$B:$B,$D38,'300'!$A:$A,"&gt;="&amp;S$27,'300'!$A:$A,"&lt;="&amp;S$28)+sumifs('600.VPA'!$D:$D,'600.VPA'!$B:$B,$D38,'600.VPA'!$A:$A,"&gt;="&amp;S$27,'600.VPA'!$A:$A,"&lt;="&amp;S$28)</f>
        <v>0</v>
      </c>
      <c r="T38" s="104">
        <f>sumifs(Boss!$D:$D,Boss!$B:$B,$D38,Boss!$A:$A,"&gt;="&amp;T$27,Boss!$A:$A,"&lt;="&amp;T$28)+sumifs(VPA.Director!$D:$D,VPA.Director!$B:$B,$D38,VPA.Director!$A:$A,"&gt;="&amp;T$27,VPA.Director!$A:$A,"&lt;="&amp;T$28)+sumifs(ADC.Director!$D:$D,ADC.Director!$B:$B,$D38,ADC.Director!$A:$A,"&gt;="&amp;T$27,ADC.Director!$A:$A,"&lt;="&amp;T$28)+sumifs('000'!$D:$D,'000'!$B:$B,$D38,'000'!$A:$A,"&gt;="&amp;T$27,'000'!$A:$A,"&lt;="&amp;T$28)+sumifs('500'!$D:$D,'500'!$B:$B,$D38,'500'!$A:$A,"&gt;="&amp;T$27,'500'!$A:$A,"&lt;="&amp;T$28)+sumifs('300'!$D:$D,'300'!$B:$B,$D38,'300'!$A:$A,"&gt;="&amp;T$27,'300'!$A:$A,"&lt;="&amp;T$28)+sumifs('600.VPA'!$D:$D,'600.VPA'!$B:$B,$D38,'600.VPA'!$A:$A,"&gt;="&amp;T$27,'600.VPA'!$A:$A,"&lt;="&amp;T$28)</f>
        <v>0</v>
      </c>
      <c r="U38" s="86"/>
      <c r="V38" s="105">
        <f t="shared" si="1"/>
        <v>0</v>
      </c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7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</row>
    <row r="39" hidden="1">
      <c r="A39" s="86"/>
      <c r="B39" s="100"/>
      <c r="D39" s="102" t="s">
        <v>73</v>
      </c>
      <c r="E39" s="103" t="s">
        <v>14</v>
      </c>
      <c r="F39" s="102" t="s">
        <v>74</v>
      </c>
      <c r="G39" s="102" t="s">
        <v>75</v>
      </c>
      <c r="H39" s="102" t="s">
        <v>76</v>
      </c>
      <c r="I39" s="104">
        <f>sumifs(Boss!$D:$D,Boss!$B:$B,$D39,Boss!$A:$A,"&gt;="&amp;I$27,Boss!$A:$A,"&lt;="&amp;I$28)+sumifs(VPA.Director!$D:$D,VPA.Director!$B:$B,$D39,VPA.Director!$A:$A,"&gt;="&amp;I$27,VPA.Director!$A:$A,"&lt;="&amp;I$28)+sumifs(ADC.Director!$D:$D,ADC.Director!$B:$B,$D39,ADC.Director!$A:$A,"&gt;="&amp;I$27,ADC.Director!$A:$A,"&lt;="&amp;I$28)+sumifs('000'!$D:$D,'000'!$B:$B,$D39,'000'!$A:$A,"&gt;="&amp;I$27,'000'!$A:$A,"&lt;="&amp;I$28)+sumifs('500'!$D:$D,'500'!$B:$B,$D39,'500'!$A:$A,"&gt;="&amp;I$27,'500'!$A:$A,"&lt;="&amp;I$28)+sumifs('300'!$D:$D,'300'!$B:$B,$D39,'300'!$A:$A,"&gt;="&amp;I$27,'300'!$A:$A,"&lt;="&amp;I$28)+sumifs('600.VPA'!$D:$D,'600.VPA'!$B:$B,$D39,'600.VPA'!$A:$A,"&gt;="&amp;I$27,'600.VPA'!$A:$A,"&lt;="&amp;I$28)</f>
        <v>0</v>
      </c>
      <c r="J39" s="104">
        <f>sumifs(Boss!$D:$D,Boss!$B:$B,$D39,Boss!$A:$A,"&gt;="&amp;J$27,Boss!$A:$A,"&lt;="&amp;J$28)+sumifs(VPA.Director!$D:$D,VPA.Director!$B:$B,$D39,VPA.Director!$A:$A,"&gt;="&amp;J$27,VPA.Director!$A:$A,"&lt;="&amp;J$28)+sumifs(ADC.Director!$D:$D,ADC.Director!$B:$B,$D39,ADC.Director!$A:$A,"&gt;="&amp;J$27,ADC.Director!$A:$A,"&lt;="&amp;J$28)+sumifs('000'!$D:$D,'000'!$B:$B,$D39,'000'!$A:$A,"&gt;="&amp;J$27,'000'!$A:$A,"&lt;="&amp;J$28)+sumifs('500'!$D:$D,'500'!$B:$B,$D39,'500'!$A:$A,"&gt;="&amp;J$27,'500'!$A:$A,"&lt;="&amp;J$28)+sumifs('300'!$D:$D,'300'!$B:$B,$D39,'300'!$A:$A,"&gt;="&amp;J$27,'300'!$A:$A,"&lt;="&amp;J$28)+sumifs('600.VPA'!$D:$D,'600.VPA'!$B:$B,$D39,'600.VPA'!$A:$A,"&gt;="&amp;J$27,'600.VPA'!$A:$A,"&lt;="&amp;J$28)</f>
        <v>0</v>
      </c>
      <c r="K39" s="104">
        <f>sumifs(Boss!$D:$D,Boss!$B:$B,$D39,Boss!$A:$A,"&gt;="&amp;K$27,Boss!$A:$A,"&lt;="&amp;K$28)+sumifs(VPA.Director!$D:$D,VPA.Director!$B:$B,$D39,VPA.Director!$A:$A,"&gt;="&amp;K$27,VPA.Director!$A:$A,"&lt;="&amp;K$28)+sumifs(ADC.Director!$D:$D,ADC.Director!$B:$B,$D39,ADC.Director!$A:$A,"&gt;="&amp;K$27,ADC.Director!$A:$A,"&lt;="&amp;K$28)+sumifs('000'!$D:$D,'000'!$B:$B,$D39,'000'!$A:$A,"&gt;="&amp;K$27,'000'!$A:$A,"&lt;="&amp;K$28)+sumifs('500'!$D:$D,'500'!$B:$B,$D39,'500'!$A:$A,"&gt;="&amp;K$27,'500'!$A:$A,"&lt;="&amp;K$28)+sumifs('300'!$D:$D,'300'!$B:$B,$D39,'300'!$A:$A,"&gt;="&amp;K$27,'300'!$A:$A,"&lt;="&amp;K$28)+sumifs('600.VPA'!$D:$D,'600.VPA'!$B:$B,$D39,'600.VPA'!$A:$A,"&gt;="&amp;K$27,'600.VPA'!$A:$A,"&lt;="&amp;K$28)</f>
        <v>0</v>
      </c>
      <c r="L39" s="104">
        <f>sumifs(Boss!$D:$D,Boss!$B:$B,$D39,Boss!$A:$A,"&gt;="&amp;L$27,Boss!$A:$A,"&lt;="&amp;L$28)+sumifs(VPA.Director!$D:$D,VPA.Director!$B:$B,$D39,VPA.Director!$A:$A,"&gt;="&amp;L$27,VPA.Director!$A:$A,"&lt;="&amp;L$28)+sumifs(ADC.Director!$D:$D,ADC.Director!$B:$B,$D39,ADC.Director!$A:$A,"&gt;="&amp;L$27,ADC.Director!$A:$A,"&lt;="&amp;L$28)+sumifs('000'!$D:$D,'000'!$B:$B,$D39,'000'!$A:$A,"&gt;="&amp;L$27,'000'!$A:$A,"&lt;="&amp;L$28)+sumifs('500'!$D:$D,'500'!$B:$B,$D39,'500'!$A:$A,"&gt;="&amp;L$27,'500'!$A:$A,"&lt;="&amp;L$28)+sumifs('300'!$D:$D,'300'!$B:$B,$D39,'300'!$A:$A,"&gt;="&amp;L$27,'300'!$A:$A,"&lt;="&amp;L$28)+sumifs('600.VPA'!$D:$D,'600.VPA'!$B:$B,$D39,'600.VPA'!$A:$A,"&gt;="&amp;L$27,'600.VPA'!$A:$A,"&lt;="&amp;L$28)</f>
        <v>0</v>
      </c>
      <c r="M39" s="104">
        <f>sumifs(Boss!$D:$D,Boss!$B:$B,$D39,Boss!$A:$A,"&gt;="&amp;M$27,Boss!$A:$A,"&lt;="&amp;M$28)+sumifs(VPA.Director!$D:$D,VPA.Director!$B:$B,$D39,VPA.Director!$A:$A,"&gt;="&amp;M$27,VPA.Director!$A:$A,"&lt;="&amp;M$28)+sumifs(ADC.Director!$D:$D,ADC.Director!$B:$B,$D39,ADC.Director!$A:$A,"&gt;="&amp;M$27,ADC.Director!$A:$A,"&lt;="&amp;M$28)+sumifs('000'!$D:$D,'000'!$B:$B,$D39,'000'!$A:$A,"&gt;="&amp;M$27,'000'!$A:$A,"&lt;="&amp;M$28)+sumifs('500'!$D:$D,'500'!$B:$B,$D39,'500'!$A:$A,"&gt;="&amp;M$27,'500'!$A:$A,"&lt;="&amp;M$28)+sumifs('300'!$D:$D,'300'!$B:$B,$D39,'300'!$A:$A,"&gt;="&amp;M$27,'300'!$A:$A,"&lt;="&amp;M$28)+sumifs('600.VPA'!$D:$D,'600.VPA'!$B:$B,$D39,'600.VPA'!$A:$A,"&gt;="&amp;M$27,'600.VPA'!$A:$A,"&lt;="&amp;M$28)</f>
        <v>0</v>
      </c>
      <c r="N39" s="104">
        <f>sumifs(Boss!$D:$D,Boss!$B:$B,$D39,Boss!$A:$A,"&gt;="&amp;N$27,Boss!$A:$A,"&lt;="&amp;N$28)+sumifs(VPA.Director!$D:$D,VPA.Director!$B:$B,$D39,VPA.Director!$A:$A,"&gt;="&amp;N$27,VPA.Director!$A:$A,"&lt;="&amp;N$28)+sumifs(ADC.Director!$D:$D,ADC.Director!$B:$B,$D39,ADC.Director!$A:$A,"&gt;="&amp;N$27,ADC.Director!$A:$A,"&lt;="&amp;N$28)+sumifs('000'!$D:$D,'000'!$B:$B,$D39,'000'!$A:$A,"&gt;="&amp;N$27,'000'!$A:$A,"&lt;="&amp;N$28)+sumifs('500'!$D:$D,'500'!$B:$B,$D39,'500'!$A:$A,"&gt;="&amp;N$27,'500'!$A:$A,"&lt;="&amp;N$28)+sumifs('300'!$D:$D,'300'!$B:$B,$D39,'300'!$A:$A,"&gt;="&amp;N$27,'300'!$A:$A,"&lt;="&amp;N$28)+sumifs('600.VPA'!$D:$D,'600.VPA'!$B:$B,$D39,'600.VPA'!$A:$A,"&gt;="&amp;N$27,'600.VPA'!$A:$A,"&lt;="&amp;N$28)</f>
        <v>0</v>
      </c>
      <c r="O39" s="104">
        <f>sumifs(Boss!$D:$D,Boss!$B:$B,$D39,Boss!$A:$A,"&gt;="&amp;O$27,Boss!$A:$A,"&lt;="&amp;O$28)+sumifs(VPA.Director!$D:$D,VPA.Director!$B:$B,$D39,VPA.Director!$A:$A,"&gt;="&amp;O$27,VPA.Director!$A:$A,"&lt;="&amp;O$28)+sumifs(ADC.Director!$D:$D,ADC.Director!$B:$B,$D39,ADC.Director!$A:$A,"&gt;="&amp;O$27,ADC.Director!$A:$A,"&lt;="&amp;O$28)+sumifs('000'!$D:$D,'000'!$B:$B,$D39,'000'!$A:$A,"&gt;="&amp;O$27,'000'!$A:$A,"&lt;="&amp;O$28)+sumifs('500'!$D:$D,'500'!$B:$B,$D39,'500'!$A:$A,"&gt;="&amp;O$27,'500'!$A:$A,"&lt;="&amp;O$28)+sumifs('300'!$D:$D,'300'!$B:$B,$D39,'300'!$A:$A,"&gt;="&amp;O$27,'300'!$A:$A,"&lt;="&amp;O$28)+sumifs('600.VPA'!$D:$D,'600.VPA'!$B:$B,$D39,'600.VPA'!$A:$A,"&gt;="&amp;O$27,'600.VPA'!$A:$A,"&lt;="&amp;O$28)</f>
        <v>0</v>
      </c>
      <c r="P39" s="104">
        <f>sumifs(Boss!$D:$D,Boss!$B:$B,$D39,Boss!$A:$A,"&gt;="&amp;P$27,Boss!$A:$A,"&lt;="&amp;P$28)+sumifs(VPA.Director!$D:$D,VPA.Director!$B:$B,$D39,VPA.Director!$A:$A,"&gt;="&amp;P$27,VPA.Director!$A:$A,"&lt;="&amp;P$28)+sumifs(ADC.Director!$D:$D,ADC.Director!$B:$B,$D39,ADC.Director!$A:$A,"&gt;="&amp;P$27,ADC.Director!$A:$A,"&lt;="&amp;P$28)+sumifs('000'!$D:$D,'000'!$B:$B,$D39,'000'!$A:$A,"&gt;="&amp;P$27,'000'!$A:$A,"&lt;="&amp;P$28)+sumifs('500'!$D:$D,'500'!$B:$B,$D39,'500'!$A:$A,"&gt;="&amp;P$27,'500'!$A:$A,"&lt;="&amp;P$28)+sumifs('300'!$D:$D,'300'!$B:$B,$D39,'300'!$A:$A,"&gt;="&amp;P$27,'300'!$A:$A,"&lt;="&amp;P$28)+sumifs('600.VPA'!$D:$D,'600.VPA'!$B:$B,$D39,'600.VPA'!$A:$A,"&gt;="&amp;P$27,'600.VPA'!$A:$A,"&lt;="&amp;P$28)</f>
        <v>0</v>
      </c>
      <c r="Q39" s="104">
        <f>sumifs(Boss!$D:$D,Boss!$B:$B,$D39,Boss!$A:$A,"&gt;="&amp;Q$27,Boss!$A:$A,"&lt;="&amp;Q$28)+sumifs(VPA.Director!$D:$D,VPA.Director!$B:$B,$D39,VPA.Director!$A:$A,"&gt;="&amp;Q$27,VPA.Director!$A:$A,"&lt;="&amp;Q$28)+sumifs(ADC.Director!$D:$D,ADC.Director!$B:$B,$D39,ADC.Director!$A:$A,"&gt;="&amp;Q$27,ADC.Director!$A:$A,"&lt;="&amp;Q$28)+sumifs('000'!$D:$D,'000'!$B:$B,$D39,'000'!$A:$A,"&gt;="&amp;Q$27,'000'!$A:$A,"&lt;="&amp;Q$28)+sumifs('500'!$D:$D,'500'!$B:$B,$D39,'500'!$A:$A,"&gt;="&amp;Q$27,'500'!$A:$A,"&lt;="&amp;Q$28)+sumifs('300'!$D:$D,'300'!$B:$B,$D39,'300'!$A:$A,"&gt;="&amp;Q$27,'300'!$A:$A,"&lt;="&amp;Q$28)+sumifs('600.VPA'!$D:$D,'600.VPA'!$B:$B,$D39,'600.VPA'!$A:$A,"&gt;="&amp;Q$27,'600.VPA'!$A:$A,"&lt;="&amp;Q$28)</f>
        <v>0</v>
      </c>
      <c r="R39" s="104">
        <f>sumifs(Boss!$D:$D,Boss!$B:$B,$D39,Boss!$A:$A,"&gt;="&amp;R$27,Boss!$A:$A,"&lt;="&amp;R$28)+sumifs(VPA.Director!$D:$D,VPA.Director!$B:$B,$D39,VPA.Director!$A:$A,"&gt;="&amp;R$27,VPA.Director!$A:$A,"&lt;="&amp;R$28)+sumifs(ADC.Director!$D:$D,ADC.Director!$B:$B,$D39,ADC.Director!$A:$A,"&gt;="&amp;R$27,ADC.Director!$A:$A,"&lt;="&amp;R$28)+sumifs('000'!$D:$D,'000'!$B:$B,$D39,'000'!$A:$A,"&gt;="&amp;R$27,'000'!$A:$A,"&lt;="&amp;R$28)+sumifs('500'!$D:$D,'500'!$B:$B,$D39,'500'!$A:$A,"&gt;="&amp;R$27,'500'!$A:$A,"&lt;="&amp;R$28)+sumifs('300'!$D:$D,'300'!$B:$B,$D39,'300'!$A:$A,"&gt;="&amp;R$27,'300'!$A:$A,"&lt;="&amp;R$28)+sumifs('600.VPA'!$D:$D,'600.VPA'!$B:$B,$D39,'600.VPA'!$A:$A,"&gt;="&amp;R$27,'600.VPA'!$A:$A,"&lt;="&amp;R$28)</f>
        <v>0</v>
      </c>
      <c r="S39" s="104">
        <f>sumifs(Boss!$D:$D,Boss!$B:$B,$D39,Boss!$A:$A,"&gt;="&amp;S$27,Boss!$A:$A,"&lt;="&amp;S$28)+sumifs(VPA.Director!$D:$D,VPA.Director!$B:$B,$D39,VPA.Director!$A:$A,"&gt;="&amp;S$27,VPA.Director!$A:$A,"&lt;="&amp;S$28)+sumifs(ADC.Director!$D:$D,ADC.Director!$B:$B,$D39,ADC.Director!$A:$A,"&gt;="&amp;S$27,ADC.Director!$A:$A,"&lt;="&amp;S$28)+sumifs('000'!$D:$D,'000'!$B:$B,$D39,'000'!$A:$A,"&gt;="&amp;S$27,'000'!$A:$A,"&lt;="&amp;S$28)+sumifs('500'!$D:$D,'500'!$B:$B,$D39,'500'!$A:$A,"&gt;="&amp;S$27,'500'!$A:$A,"&lt;="&amp;S$28)+sumifs('300'!$D:$D,'300'!$B:$B,$D39,'300'!$A:$A,"&gt;="&amp;S$27,'300'!$A:$A,"&lt;="&amp;S$28)+sumifs('600.VPA'!$D:$D,'600.VPA'!$B:$B,$D39,'600.VPA'!$A:$A,"&gt;="&amp;S$27,'600.VPA'!$A:$A,"&lt;="&amp;S$28)</f>
        <v>0</v>
      </c>
      <c r="T39" s="104">
        <f>sumifs(Boss!$D:$D,Boss!$B:$B,$D39,Boss!$A:$A,"&gt;="&amp;T$27,Boss!$A:$A,"&lt;="&amp;T$28)+sumifs(VPA.Director!$D:$D,VPA.Director!$B:$B,$D39,VPA.Director!$A:$A,"&gt;="&amp;T$27,VPA.Director!$A:$A,"&lt;="&amp;T$28)+sumifs(ADC.Director!$D:$D,ADC.Director!$B:$B,$D39,ADC.Director!$A:$A,"&gt;="&amp;T$27,ADC.Director!$A:$A,"&lt;="&amp;T$28)+sumifs('000'!$D:$D,'000'!$B:$B,$D39,'000'!$A:$A,"&gt;="&amp;T$27,'000'!$A:$A,"&lt;="&amp;T$28)+sumifs('500'!$D:$D,'500'!$B:$B,$D39,'500'!$A:$A,"&gt;="&amp;T$27,'500'!$A:$A,"&lt;="&amp;T$28)+sumifs('300'!$D:$D,'300'!$B:$B,$D39,'300'!$A:$A,"&gt;="&amp;T$27,'300'!$A:$A,"&lt;="&amp;T$28)+sumifs('600.VPA'!$D:$D,'600.VPA'!$B:$B,$D39,'600.VPA'!$A:$A,"&gt;="&amp;T$27,'600.VPA'!$A:$A,"&lt;="&amp;T$28)</f>
        <v>0</v>
      </c>
      <c r="U39" s="86"/>
      <c r="V39" s="105">
        <f t="shared" si="1"/>
        <v>0</v>
      </c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7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</row>
    <row r="40" hidden="1">
      <c r="A40" s="86"/>
      <c r="B40" s="100"/>
      <c r="C40" s="106" t="s">
        <v>77</v>
      </c>
      <c r="D40" s="107" t="s">
        <v>78</v>
      </c>
      <c r="E40" s="108" t="s">
        <v>15</v>
      </c>
      <c r="F40" s="107" t="s">
        <v>79</v>
      </c>
      <c r="G40" s="107" t="s">
        <v>80</v>
      </c>
      <c r="H40" s="107" t="s">
        <v>42</v>
      </c>
      <c r="I40" s="109">
        <f>sumifs(Boss!$D:$D,Boss!$B:$B,$D40,Boss!$A:$A,"&gt;="&amp;I$27,Boss!$A:$A,"&lt;="&amp;I$28)+sumifs(VPA.Director!$D:$D,VPA.Director!$B:$B,$D40,VPA.Director!$A:$A,"&gt;="&amp;I$27,VPA.Director!$A:$A,"&lt;="&amp;I$28)+sumifs(ADC.Director!$D:$D,ADC.Director!$B:$B,$D40,ADC.Director!$A:$A,"&gt;="&amp;I$27,ADC.Director!$A:$A,"&lt;="&amp;I$28)+sumifs('000'!$D:$D,'000'!$B:$B,$D40,'000'!$A:$A,"&gt;="&amp;I$27,'000'!$A:$A,"&lt;="&amp;I$28)+sumifs('500'!$D:$D,'500'!$B:$B,$D40,'500'!$A:$A,"&gt;="&amp;I$27,'500'!$A:$A,"&lt;="&amp;I$28)+sumifs('300'!$D:$D,'300'!$B:$B,$D40,'300'!$A:$A,"&gt;="&amp;I$27,'300'!$A:$A,"&lt;="&amp;I$28)+sumifs('600.VPA'!$D:$D,'600.VPA'!$B:$B,$D40,'600.VPA'!$A:$A,"&gt;="&amp;I$27,'600.VPA'!$A:$A,"&lt;="&amp;I$28)</f>
        <v>0</v>
      </c>
      <c r="J40" s="109">
        <f>sumifs(Boss!$D:$D,Boss!$B:$B,$D40,Boss!$A:$A,"&gt;="&amp;J$27,Boss!$A:$A,"&lt;="&amp;J$28)+sumifs(VPA.Director!$D:$D,VPA.Director!$B:$B,$D40,VPA.Director!$A:$A,"&gt;="&amp;J$27,VPA.Director!$A:$A,"&lt;="&amp;J$28)+sumifs(ADC.Director!$D:$D,ADC.Director!$B:$B,$D40,ADC.Director!$A:$A,"&gt;="&amp;J$27,ADC.Director!$A:$A,"&lt;="&amp;J$28)+sumifs('000'!$D:$D,'000'!$B:$B,$D40,'000'!$A:$A,"&gt;="&amp;J$27,'000'!$A:$A,"&lt;="&amp;J$28)+sumifs('500'!$D:$D,'500'!$B:$B,$D40,'500'!$A:$A,"&gt;="&amp;J$27,'500'!$A:$A,"&lt;="&amp;J$28)+sumifs('300'!$D:$D,'300'!$B:$B,$D40,'300'!$A:$A,"&gt;="&amp;J$27,'300'!$A:$A,"&lt;="&amp;J$28)+sumifs('600.VPA'!$D:$D,'600.VPA'!$B:$B,$D40,'600.VPA'!$A:$A,"&gt;="&amp;J$27,'600.VPA'!$A:$A,"&lt;="&amp;J$28)</f>
        <v>0</v>
      </c>
      <c r="K40" s="109">
        <f>sumifs(Boss!$D:$D,Boss!$B:$B,$D40,Boss!$A:$A,"&gt;="&amp;K$27,Boss!$A:$A,"&lt;="&amp;K$28)+sumifs(VPA.Director!$D:$D,VPA.Director!$B:$B,$D40,VPA.Director!$A:$A,"&gt;="&amp;K$27,VPA.Director!$A:$A,"&lt;="&amp;K$28)+sumifs(ADC.Director!$D:$D,ADC.Director!$B:$B,$D40,ADC.Director!$A:$A,"&gt;="&amp;K$27,ADC.Director!$A:$A,"&lt;="&amp;K$28)+sumifs('000'!$D:$D,'000'!$B:$B,$D40,'000'!$A:$A,"&gt;="&amp;K$27,'000'!$A:$A,"&lt;="&amp;K$28)+sumifs('500'!$D:$D,'500'!$B:$B,$D40,'500'!$A:$A,"&gt;="&amp;K$27,'500'!$A:$A,"&lt;="&amp;K$28)+sumifs('300'!$D:$D,'300'!$B:$B,$D40,'300'!$A:$A,"&gt;="&amp;K$27,'300'!$A:$A,"&lt;="&amp;K$28)+sumifs('600.VPA'!$D:$D,'600.VPA'!$B:$B,$D40,'600.VPA'!$A:$A,"&gt;="&amp;K$27,'600.VPA'!$A:$A,"&lt;="&amp;K$28)</f>
        <v>0</v>
      </c>
      <c r="L40" s="109">
        <f>sumifs(Boss!$D:$D,Boss!$B:$B,$D40,Boss!$A:$A,"&gt;="&amp;L$27,Boss!$A:$A,"&lt;="&amp;L$28)+sumifs(VPA.Director!$D:$D,VPA.Director!$B:$B,$D40,VPA.Director!$A:$A,"&gt;="&amp;L$27,VPA.Director!$A:$A,"&lt;="&amp;L$28)+sumifs(ADC.Director!$D:$D,ADC.Director!$B:$B,$D40,ADC.Director!$A:$A,"&gt;="&amp;L$27,ADC.Director!$A:$A,"&lt;="&amp;L$28)+sumifs('000'!$D:$D,'000'!$B:$B,$D40,'000'!$A:$A,"&gt;="&amp;L$27,'000'!$A:$A,"&lt;="&amp;L$28)+sumifs('500'!$D:$D,'500'!$B:$B,$D40,'500'!$A:$A,"&gt;="&amp;L$27,'500'!$A:$A,"&lt;="&amp;L$28)+sumifs('300'!$D:$D,'300'!$B:$B,$D40,'300'!$A:$A,"&gt;="&amp;L$27,'300'!$A:$A,"&lt;="&amp;L$28)+sumifs('600.VPA'!$D:$D,'600.VPA'!$B:$B,$D40,'600.VPA'!$A:$A,"&gt;="&amp;L$27,'600.VPA'!$A:$A,"&lt;="&amp;L$28)</f>
        <v>0</v>
      </c>
      <c r="M40" s="109">
        <f>sumifs(Boss!$D:$D,Boss!$B:$B,$D40,Boss!$A:$A,"&gt;="&amp;M$27,Boss!$A:$A,"&lt;="&amp;M$28)+sumifs(VPA.Director!$D:$D,VPA.Director!$B:$B,$D40,VPA.Director!$A:$A,"&gt;="&amp;M$27,VPA.Director!$A:$A,"&lt;="&amp;M$28)+sumifs(ADC.Director!$D:$D,ADC.Director!$B:$B,$D40,ADC.Director!$A:$A,"&gt;="&amp;M$27,ADC.Director!$A:$A,"&lt;="&amp;M$28)+sumifs('000'!$D:$D,'000'!$B:$B,$D40,'000'!$A:$A,"&gt;="&amp;M$27,'000'!$A:$A,"&lt;="&amp;M$28)+sumifs('500'!$D:$D,'500'!$B:$B,$D40,'500'!$A:$A,"&gt;="&amp;M$27,'500'!$A:$A,"&lt;="&amp;M$28)+sumifs('300'!$D:$D,'300'!$B:$B,$D40,'300'!$A:$A,"&gt;="&amp;M$27,'300'!$A:$A,"&lt;="&amp;M$28)+sumifs('600.VPA'!$D:$D,'600.VPA'!$B:$B,$D40,'600.VPA'!$A:$A,"&gt;="&amp;M$27,'600.VPA'!$A:$A,"&lt;="&amp;M$28)</f>
        <v>0</v>
      </c>
      <c r="N40" s="109">
        <f>sumifs(Boss!$D:$D,Boss!$B:$B,$D40,Boss!$A:$A,"&gt;="&amp;N$27,Boss!$A:$A,"&lt;="&amp;N$28)+sumifs(VPA.Director!$D:$D,VPA.Director!$B:$B,$D40,VPA.Director!$A:$A,"&gt;="&amp;N$27,VPA.Director!$A:$A,"&lt;="&amp;N$28)+sumifs(ADC.Director!$D:$D,ADC.Director!$B:$B,$D40,ADC.Director!$A:$A,"&gt;="&amp;N$27,ADC.Director!$A:$A,"&lt;="&amp;N$28)+sumifs('000'!$D:$D,'000'!$B:$B,$D40,'000'!$A:$A,"&gt;="&amp;N$27,'000'!$A:$A,"&lt;="&amp;N$28)+sumifs('500'!$D:$D,'500'!$B:$B,$D40,'500'!$A:$A,"&gt;="&amp;N$27,'500'!$A:$A,"&lt;="&amp;N$28)+sumifs('300'!$D:$D,'300'!$B:$B,$D40,'300'!$A:$A,"&gt;="&amp;N$27,'300'!$A:$A,"&lt;="&amp;N$28)+sumifs('600.VPA'!$D:$D,'600.VPA'!$B:$B,$D40,'600.VPA'!$A:$A,"&gt;="&amp;N$27,'600.VPA'!$A:$A,"&lt;="&amp;N$28)</f>
        <v>0</v>
      </c>
      <c r="O40" s="109">
        <f>sumifs(Boss!$D:$D,Boss!$B:$B,$D40,Boss!$A:$A,"&gt;="&amp;O$27,Boss!$A:$A,"&lt;="&amp;O$28)+sumifs(VPA.Director!$D:$D,VPA.Director!$B:$B,$D40,VPA.Director!$A:$A,"&gt;="&amp;O$27,VPA.Director!$A:$A,"&lt;="&amp;O$28)+sumifs(ADC.Director!$D:$D,ADC.Director!$B:$B,$D40,ADC.Director!$A:$A,"&gt;="&amp;O$27,ADC.Director!$A:$A,"&lt;="&amp;O$28)+sumifs('000'!$D:$D,'000'!$B:$B,$D40,'000'!$A:$A,"&gt;="&amp;O$27,'000'!$A:$A,"&lt;="&amp;O$28)+sumifs('500'!$D:$D,'500'!$B:$B,$D40,'500'!$A:$A,"&gt;="&amp;O$27,'500'!$A:$A,"&lt;="&amp;O$28)+sumifs('300'!$D:$D,'300'!$B:$B,$D40,'300'!$A:$A,"&gt;="&amp;O$27,'300'!$A:$A,"&lt;="&amp;O$28)+sumifs('600.VPA'!$D:$D,'600.VPA'!$B:$B,$D40,'600.VPA'!$A:$A,"&gt;="&amp;O$27,'600.VPA'!$A:$A,"&lt;="&amp;O$28)</f>
        <v>0</v>
      </c>
      <c r="P40" s="109">
        <f>sumifs(Boss!$D:$D,Boss!$B:$B,$D40,Boss!$A:$A,"&gt;="&amp;P$27,Boss!$A:$A,"&lt;="&amp;P$28)+sumifs(VPA.Director!$D:$D,VPA.Director!$B:$B,$D40,VPA.Director!$A:$A,"&gt;="&amp;P$27,VPA.Director!$A:$A,"&lt;="&amp;P$28)+sumifs(ADC.Director!$D:$D,ADC.Director!$B:$B,$D40,ADC.Director!$A:$A,"&gt;="&amp;P$27,ADC.Director!$A:$A,"&lt;="&amp;P$28)+sumifs('000'!$D:$D,'000'!$B:$B,$D40,'000'!$A:$A,"&gt;="&amp;P$27,'000'!$A:$A,"&lt;="&amp;P$28)+sumifs('500'!$D:$D,'500'!$B:$B,$D40,'500'!$A:$A,"&gt;="&amp;P$27,'500'!$A:$A,"&lt;="&amp;P$28)+sumifs('300'!$D:$D,'300'!$B:$B,$D40,'300'!$A:$A,"&gt;="&amp;P$27,'300'!$A:$A,"&lt;="&amp;P$28)+sumifs('600.VPA'!$D:$D,'600.VPA'!$B:$B,$D40,'600.VPA'!$A:$A,"&gt;="&amp;P$27,'600.VPA'!$A:$A,"&lt;="&amp;P$28)</f>
        <v>0</v>
      </c>
      <c r="Q40" s="109">
        <f>sumifs(Boss!$D:$D,Boss!$B:$B,$D40,Boss!$A:$A,"&gt;="&amp;Q$27,Boss!$A:$A,"&lt;="&amp;Q$28)+sumifs(VPA.Director!$D:$D,VPA.Director!$B:$B,$D40,VPA.Director!$A:$A,"&gt;="&amp;Q$27,VPA.Director!$A:$A,"&lt;="&amp;Q$28)+sumifs(ADC.Director!$D:$D,ADC.Director!$B:$B,$D40,ADC.Director!$A:$A,"&gt;="&amp;Q$27,ADC.Director!$A:$A,"&lt;="&amp;Q$28)+sumifs('000'!$D:$D,'000'!$B:$B,$D40,'000'!$A:$A,"&gt;="&amp;Q$27,'000'!$A:$A,"&lt;="&amp;Q$28)+sumifs('500'!$D:$D,'500'!$B:$B,$D40,'500'!$A:$A,"&gt;="&amp;Q$27,'500'!$A:$A,"&lt;="&amp;Q$28)+sumifs('300'!$D:$D,'300'!$B:$B,$D40,'300'!$A:$A,"&gt;="&amp;Q$27,'300'!$A:$A,"&lt;="&amp;Q$28)+sumifs('600.VPA'!$D:$D,'600.VPA'!$B:$B,$D40,'600.VPA'!$A:$A,"&gt;="&amp;Q$27,'600.VPA'!$A:$A,"&lt;="&amp;Q$28)</f>
        <v>0</v>
      </c>
      <c r="R40" s="109">
        <f>sumifs(Boss!$D:$D,Boss!$B:$B,$D40,Boss!$A:$A,"&gt;="&amp;R$27,Boss!$A:$A,"&lt;="&amp;R$28)+sumifs(VPA.Director!$D:$D,VPA.Director!$B:$B,$D40,VPA.Director!$A:$A,"&gt;="&amp;R$27,VPA.Director!$A:$A,"&lt;="&amp;R$28)+sumifs(ADC.Director!$D:$D,ADC.Director!$B:$B,$D40,ADC.Director!$A:$A,"&gt;="&amp;R$27,ADC.Director!$A:$A,"&lt;="&amp;R$28)+sumifs('000'!$D:$D,'000'!$B:$B,$D40,'000'!$A:$A,"&gt;="&amp;R$27,'000'!$A:$A,"&lt;="&amp;R$28)+sumifs('500'!$D:$D,'500'!$B:$B,$D40,'500'!$A:$A,"&gt;="&amp;R$27,'500'!$A:$A,"&lt;="&amp;R$28)+sumifs('300'!$D:$D,'300'!$B:$B,$D40,'300'!$A:$A,"&gt;="&amp;R$27,'300'!$A:$A,"&lt;="&amp;R$28)+sumifs('600.VPA'!$D:$D,'600.VPA'!$B:$B,$D40,'600.VPA'!$A:$A,"&gt;="&amp;R$27,'600.VPA'!$A:$A,"&lt;="&amp;R$28)</f>
        <v>0</v>
      </c>
      <c r="S40" s="109">
        <f>sumifs(Boss!$D:$D,Boss!$B:$B,$D40,Boss!$A:$A,"&gt;="&amp;S$27,Boss!$A:$A,"&lt;="&amp;S$28)+sumifs(VPA.Director!$D:$D,VPA.Director!$B:$B,$D40,VPA.Director!$A:$A,"&gt;="&amp;S$27,VPA.Director!$A:$A,"&lt;="&amp;S$28)+sumifs(ADC.Director!$D:$D,ADC.Director!$B:$B,$D40,ADC.Director!$A:$A,"&gt;="&amp;S$27,ADC.Director!$A:$A,"&lt;="&amp;S$28)+sumifs('000'!$D:$D,'000'!$B:$B,$D40,'000'!$A:$A,"&gt;="&amp;S$27,'000'!$A:$A,"&lt;="&amp;S$28)+sumifs('500'!$D:$D,'500'!$B:$B,$D40,'500'!$A:$A,"&gt;="&amp;S$27,'500'!$A:$A,"&lt;="&amp;S$28)+sumifs('300'!$D:$D,'300'!$B:$B,$D40,'300'!$A:$A,"&gt;="&amp;S$27,'300'!$A:$A,"&lt;="&amp;S$28)+sumifs('600.VPA'!$D:$D,'600.VPA'!$B:$B,$D40,'600.VPA'!$A:$A,"&gt;="&amp;S$27,'600.VPA'!$A:$A,"&lt;="&amp;S$28)</f>
        <v>0</v>
      </c>
      <c r="T40" s="109">
        <f>sumifs(Boss!$D:$D,Boss!$B:$B,$D40,Boss!$A:$A,"&gt;="&amp;T$27,Boss!$A:$A,"&lt;="&amp;T$28)+sumifs(VPA.Director!$D:$D,VPA.Director!$B:$B,$D40,VPA.Director!$A:$A,"&gt;="&amp;T$27,VPA.Director!$A:$A,"&lt;="&amp;T$28)+sumifs(ADC.Director!$D:$D,ADC.Director!$B:$B,$D40,ADC.Director!$A:$A,"&gt;="&amp;T$27,ADC.Director!$A:$A,"&lt;="&amp;T$28)+sumifs('000'!$D:$D,'000'!$B:$B,$D40,'000'!$A:$A,"&gt;="&amp;T$27,'000'!$A:$A,"&lt;="&amp;T$28)+sumifs('500'!$D:$D,'500'!$B:$B,$D40,'500'!$A:$A,"&gt;="&amp;T$27,'500'!$A:$A,"&lt;="&amp;T$28)+sumifs('300'!$D:$D,'300'!$B:$B,$D40,'300'!$A:$A,"&gt;="&amp;T$27,'300'!$A:$A,"&lt;="&amp;T$28)+sumifs('600.VPA'!$D:$D,'600.VPA'!$B:$B,$D40,'600.VPA'!$A:$A,"&gt;="&amp;T$27,'600.VPA'!$A:$A,"&lt;="&amp;T$28)</f>
        <v>0</v>
      </c>
      <c r="U40" s="110"/>
      <c r="V40" s="111">
        <f t="shared" si="1"/>
        <v>0</v>
      </c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7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</row>
    <row r="41" hidden="1">
      <c r="A41" s="86"/>
      <c r="B41" s="100"/>
      <c r="D41" s="107" t="s">
        <v>81</v>
      </c>
      <c r="E41" s="108" t="s">
        <v>16</v>
      </c>
      <c r="F41" s="107" t="s">
        <v>82</v>
      </c>
      <c r="G41" s="107" t="s">
        <v>83</v>
      </c>
      <c r="H41" s="107" t="s">
        <v>84</v>
      </c>
      <c r="I41" s="109">
        <f>sumifs(Boss!$D:$D,Boss!$B:$B,$D41,Boss!$A:$A,"&gt;="&amp;I$27,Boss!$A:$A,"&lt;="&amp;I$28)+sumifs(VPA.Director!$D:$D,VPA.Director!$B:$B,$D41,VPA.Director!$A:$A,"&gt;="&amp;I$27,VPA.Director!$A:$A,"&lt;="&amp;I$28)+sumifs(ADC.Director!$D:$D,ADC.Director!$B:$B,$D41,ADC.Director!$A:$A,"&gt;="&amp;I$27,ADC.Director!$A:$A,"&lt;="&amp;I$28)+sumifs('000'!$D:$D,'000'!$B:$B,$D41,'000'!$A:$A,"&gt;="&amp;I$27,'000'!$A:$A,"&lt;="&amp;I$28)+sumifs('500'!$D:$D,'500'!$B:$B,$D41,'500'!$A:$A,"&gt;="&amp;I$27,'500'!$A:$A,"&lt;="&amp;I$28)+sumifs('300'!$D:$D,'300'!$B:$B,$D41,'300'!$A:$A,"&gt;="&amp;I$27,'300'!$A:$A,"&lt;="&amp;I$28)+sumifs('600.VPA'!$D:$D,'600.VPA'!$B:$B,$D41,'600.VPA'!$A:$A,"&gt;="&amp;I$27,'600.VPA'!$A:$A,"&lt;="&amp;I$28)</f>
        <v>0</v>
      </c>
      <c r="J41" s="109">
        <f>sumifs(Boss!$D:$D,Boss!$B:$B,$D41,Boss!$A:$A,"&gt;="&amp;J$27,Boss!$A:$A,"&lt;="&amp;J$28)+sumifs(VPA.Director!$D:$D,VPA.Director!$B:$B,$D41,VPA.Director!$A:$A,"&gt;="&amp;J$27,VPA.Director!$A:$A,"&lt;="&amp;J$28)+sumifs(ADC.Director!$D:$D,ADC.Director!$B:$B,$D41,ADC.Director!$A:$A,"&gt;="&amp;J$27,ADC.Director!$A:$A,"&lt;="&amp;J$28)+sumifs('000'!$D:$D,'000'!$B:$B,$D41,'000'!$A:$A,"&gt;="&amp;J$27,'000'!$A:$A,"&lt;="&amp;J$28)+sumifs('500'!$D:$D,'500'!$B:$B,$D41,'500'!$A:$A,"&gt;="&amp;J$27,'500'!$A:$A,"&lt;="&amp;J$28)+sumifs('300'!$D:$D,'300'!$B:$B,$D41,'300'!$A:$A,"&gt;="&amp;J$27,'300'!$A:$A,"&lt;="&amp;J$28)+sumifs('600.VPA'!$D:$D,'600.VPA'!$B:$B,$D41,'600.VPA'!$A:$A,"&gt;="&amp;J$27,'600.VPA'!$A:$A,"&lt;="&amp;J$28)</f>
        <v>0</v>
      </c>
      <c r="K41" s="109">
        <f>sumifs(Boss!$D:$D,Boss!$B:$B,$D41,Boss!$A:$A,"&gt;="&amp;K$27,Boss!$A:$A,"&lt;="&amp;K$28)+sumifs(VPA.Director!$D:$D,VPA.Director!$B:$B,$D41,VPA.Director!$A:$A,"&gt;="&amp;K$27,VPA.Director!$A:$A,"&lt;="&amp;K$28)+sumifs(ADC.Director!$D:$D,ADC.Director!$B:$B,$D41,ADC.Director!$A:$A,"&gt;="&amp;K$27,ADC.Director!$A:$A,"&lt;="&amp;K$28)+sumifs('000'!$D:$D,'000'!$B:$B,$D41,'000'!$A:$A,"&gt;="&amp;K$27,'000'!$A:$A,"&lt;="&amp;K$28)+sumifs('500'!$D:$D,'500'!$B:$B,$D41,'500'!$A:$A,"&gt;="&amp;K$27,'500'!$A:$A,"&lt;="&amp;K$28)+sumifs('300'!$D:$D,'300'!$B:$B,$D41,'300'!$A:$A,"&gt;="&amp;K$27,'300'!$A:$A,"&lt;="&amp;K$28)+sumifs('600.VPA'!$D:$D,'600.VPA'!$B:$B,$D41,'600.VPA'!$A:$A,"&gt;="&amp;K$27,'600.VPA'!$A:$A,"&lt;="&amp;K$28)</f>
        <v>0</v>
      </c>
      <c r="L41" s="109">
        <f>sumifs(Boss!$D:$D,Boss!$B:$B,$D41,Boss!$A:$A,"&gt;="&amp;L$27,Boss!$A:$A,"&lt;="&amp;L$28)+sumifs(VPA.Director!$D:$D,VPA.Director!$B:$B,$D41,VPA.Director!$A:$A,"&gt;="&amp;L$27,VPA.Director!$A:$A,"&lt;="&amp;L$28)+sumifs(ADC.Director!$D:$D,ADC.Director!$B:$B,$D41,ADC.Director!$A:$A,"&gt;="&amp;L$27,ADC.Director!$A:$A,"&lt;="&amp;L$28)+sumifs('000'!$D:$D,'000'!$B:$B,$D41,'000'!$A:$A,"&gt;="&amp;L$27,'000'!$A:$A,"&lt;="&amp;L$28)+sumifs('500'!$D:$D,'500'!$B:$B,$D41,'500'!$A:$A,"&gt;="&amp;L$27,'500'!$A:$A,"&lt;="&amp;L$28)+sumifs('300'!$D:$D,'300'!$B:$B,$D41,'300'!$A:$A,"&gt;="&amp;L$27,'300'!$A:$A,"&lt;="&amp;L$28)+sumifs('600.VPA'!$D:$D,'600.VPA'!$B:$B,$D41,'600.VPA'!$A:$A,"&gt;="&amp;L$27,'600.VPA'!$A:$A,"&lt;="&amp;L$28)</f>
        <v>0</v>
      </c>
      <c r="M41" s="109">
        <f>sumifs(Boss!$D:$D,Boss!$B:$B,$D41,Boss!$A:$A,"&gt;="&amp;M$27,Boss!$A:$A,"&lt;="&amp;M$28)+sumifs(VPA.Director!$D:$D,VPA.Director!$B:$B,$D41,VPA.Director!$A:$A,"&gt;="&amp;M$27,VPA.Director!$A:$A,"&lt;="&amp;M$28)+sumifs(ADC.Director!$D:$D,ADC.Director!$B:$B,$D41,ADC.Director!$A:$A,"&gt;="&amp;M$27,ADC.Director!$A:$A,"&lt;="&amp;M$28)+sumifs('000'!$D:$D,'000'!$B:$B,$D41,'000'!$A:$A,"&gt;="&amp;M$27,'000'!$A:$A,"&lt;="&amp;M$28)+sumifs('500'!$D:$D,'500'!$B:$B,$D41,'500'!$A:$A,"&gt;="&amp;M$27,'500'!$A:$A,"&lt;="&amp;M$28)+sumifs('300'!$D:$D,'300'!$B:$B,$D41,'300'!$A:$A,"&gt;="&amp;M$27,'300'!$A:$A,"&lt;="&amp;M$28)+sumifs('600.VPA'!$D:$D,'600.VPA'!$B:$B,$D41,'600.VPA'!$A:$A,"&gt;="&amp;M$27,'600.VPA'!$A:$A,"&lt;="&amp;M$28)</f>
        <v>0</v>
      </c>
      <c r="N41" s="109">
        <f>sumifs(Boss!$D:$D,Boss!$B:$B,$D41,Boss!$A:$A,"&gt;="&amp;N$27,Boss!$A:$A,"&lt;="&amp;N$28)+sumifs(VPA.Director!$D:$D,VPA.Director!$B:$B,$D41,VPA.Director!$A:$A,"&gt;="&amp;N$27,VPA.Director!$A:$A,"&lt;="&amp;N$28)+sumifs(ADC.Director!$D:$D,ADC.Director!$B:$B,$D41,ADC.Director!$A:$A,"&gt;="&amp;N$27,ADC.Director!$A:$A,"&lt;="&amp;N$28)+sumifs('000'!$D:$D,'000'!$B:$B,$D41,'000'!$A:$A,"&gt;="&amp;N$27,'000'!$A:$A,"&lt;="&amp;N$28)+sumifs('500'!$D:$D,'500'!$B:$B,$D41,'500'!$A:$A,"&gt;="&amp;N$27,'500'!$A:$A,"&lt;="&amp;N$28)+sumifs('300'!$D:$D,'300'!$B:$B,$D41,'300'!$A:$A,"&gt;="&amp;N$27,'300'!$A:$A,"&lt;="&amp;N$28)+sumifs('600.VPA'!$D:$D,'600.VPA'!$B:$B,$D41,'600.VPA'!$A:$A,"&gt;="&amp;N$27,'600.VPA'!$A:$A,"&lt;="&amp;N$28)</f>
        <v>0</v>
      </c>
      <c r="O41" s="109">
        <f>sumifs(Boss!$D:$D,Boss!$B:$B,$D41,Boss!$A:$A,"&gt;="&amp;O$27,Boss!$A:$A,"&lt;="&amp;O$28)+sumifs(VPA.Director!$D:$D,VPA.Director!$B:$B,$D41,VPA.Director!$A:$A,"&gt;="&amp;O$27,VPA.Director!$A:$A,"&lt;="&amp;O$28)+sumifs(ADC.Director!$D:$D,ADC.Director!$B:$B,$D41,ADC.Director!$A:$A,"&gt;="&amp;O$27,ADC.Director!$A:$A,"&lt;="&amp;O$28)+sumifs('000'!$D:$D,'000'!$B:$B,$D41,'000'!$A:$A,"&gt;="&amp;O$27,'000'!$A:$A,"&lt;="&amp;O$28)+sumifs('500'!$D:$D,'500'!$B:$B,$D41,'500'!$A:$A,"&gt;="&amp;O$27,'500'!$A:$A,"&lt;="&amp;O$28)+sumifs('300'!$D:$D,'300'!$B:$B,$D41,'300'!$A:$A,"&gt;="&amp;O$27,'300'!$A:$A,"&lt;="&amp;O$28)+sumifs('600.VPA'!$D:$D,'600.VPA'!$B:$B,$D41,'600.VPA'!$A:$A,"&gt;="&amp;O$27,'600.VPA'!$A:$A,"&lt;="&amp;O$28)</f>
        <v>0</v>
      </c>
      <c r="P41" s="109">
        <f>sumifs(Boss!$D:$D,Boss!$B:$B,$D41,Boss!$A:$A,"&gt;="&amp;P$27,Boss!$A:$A,"&lt;="&amp;P$28)+sumifs(VPA.Director!$D:$D,VPA.Director!$B:$B,$D41,VPA.Director!$A:$A,"&gt;="&amp;P$27,VPA.Director!$A:$A,"&lt;="&amp;P$28)+sumifs(ADC.Director!$D:$D,ADC.Director!$B:$B,$D41,ADC.Director!$A:$A,"&gt;="&amp;P$27,ADC.Director!$A:$A,"&lt;="&amp;P$28)+sumifs('000'!$D:$D,'000'!$B:$B,$D41,'000'!$A:$A,"&gt;="&amp;P$27,'000'!$A:$A,"&lt;="&amp;P$28)+sumifs('500'!$D:$D,'500'!$B:$B,$D41,'500'!$A:$A,"&gt;="&amp;P$27,'500'!$A:$A,"&lt;="&amp;P$28)+sumifs('300'!$D:$D,'300'!$B:$B,$D41,'300'!$A:$A,"&gt;="&amp;P$27,'300'!$A:$A,"&lt;="&amp;P$28)+sumifs('600.VPA'!$D:$D,'600.VPA'!$B:$B,$D41,'600.VPA'!$A:$A,"&gt;="&amp;P$27,'600.VPA'!$A:$A,"&lt;="&amp;P$28)</f>
        <v>0</v>
      </c>
      <c r="Q41" s="109">
        <f>sumifs(Boss!$D:$D,Boss!$B:$B,$D41,Boss!$A:$A,"&gt;="&amp;Q$27,Boss!$A:$A,"&lt;="&amp;Q$28)+sumifs(VPA.Director!$D:$D,VPA.Director!$B:$B,$D41,VPA.Director!$A:$A,"&gt;="&amp;Q$27,VPA.Director!$A:$A,"&lt;="&amp;Q$28)+sumifs(ADC.Director!$D:$D,ADC.Director!$B:$B,$D41,ADC.Director!$A:$A,"&gt;="&amp;Q$27,ADC.Director!$A:$A,"&lt;="&amp;Q$28)+sumifs('000'!$D:$D,'000'!$B:$B,$D41,'000'!$A:$A,"&gt;="&amp;Q$27,'000'!$A:$A,"&lt;="&amp;Q$28)+sumifs('500'!$D:$D,'500'!$B:$B,$D41,'500'!$A:$A,"&gt;="&amp;Q$27,'500'!$A:$A,"&lt;="&amp;Q$28)+sumifs('300'!$D:$D,'300'!$B:$B,$D41,'300'!$A:$A,"&gt;="&amp;Q$27,'300'!$A:$A,"&lt;="&amp;Q$28)+sumifs('600.VPA'!$D:$D,'600.VPA'!$B:$B,$D41,'600.VPA'!$A:$A,"&gt;="&amp;Q$27,'600.VPA'!$A:$A,"&lt;="&amp;Q$28)</f>
        <v>0</v>
      </c>
      <c r="R41" s="109">
        <f>sumifs(Boss!$D:$D,Boss!$B:$B,$D41,Boss!$A:$A,"&gt;="&amp;R$27,Boss!$A:$A,"&lt;="&amp;R$28)+sumifs(VPA.Director!$D:$D,VPA.Director!$B:$B,$D41,VPA.Director!$A:$A,"&gt;="&amp;R$27,VPA.Director!$A:$A,"&lt;="&amp;R$28)+sumifs(ADC.Director!$D:$D,ADC.Director!$B:$B,$D41,ADC.Director!$A:$A,"&gt;="&amp;R$27,ADC.Director!$A:$A,"&lt;="&amp;R$28)+sumifs('000'!$D:$D,'000'!$B:$B,$D41,'000'!$A:$A,"&gt;="&amp;R$27,'000'!$A:$A,"&lt;="&amp;R$28)+sumifs('500'!$D:$D,'500'!$B:$B,$D41,'500'!$A:$A,"&gt;="&amp;R$27,'500'!$A:$A,"&lt;="&amp;R$28)+sumifs('300'!$D:$D,'300'!$B:$B,$D41,'300'!$A:$A,"&gt;="&amp;R$27,'300'!$A:$A,"&lt;="&amp;R$28)+sumifs('600.VPA'!$D:$D,'600.VPA'!$B:$B,$D41,'600.VPA'!$A:$A,"&gt;="&amp;R$27,'600.VPA'!$A:$A,"&lt;="&amp;R$28)</f>
        <v>0</v>
      </c>
      <c r="S41" s="109">
        <f>sumifs(Boss!$D:$D,Boss!$B:$B,$D41,Boss!$A:$A,"&gt;="&amp;S$27,Boss!$A:$A,"&lt;="&amp;S$28)+sumifs(VPA.Director!$D:$D,VPA.Director!$B:$B,$D41,VPA.Director!$A:$A,"&gt;="&amp;S$27,VPA.Director!$A:$A,"&lt;="&amp;S$28)+sumifs(ADC.Director!$D:$D,ADC.Director!$B:$B,$D41,ADC.Director!$A:$A,"&gt;="&amp;S$27,ADC.Director!$A:$A,"&lt;="&amp;S$28)+sumifs('000'!$D:$D,'000'!$B:$B,$D41,'000'!$A:$A,"&gt;="&amp;S$27,'000'!$A:$A,"&lt;="&amp;S$28)+sumifs('500'!$D:$D,'500'!$B:$B,$D41,'500'!$A:$A,"&gt;="&amp;S$27,'500'!$A:$A,"&lt;="&amp;S$28)+sumifs('300'!$D:$D,'300'!$B:$B,$D41,'300'!$A:$A,"&gt;="&amp;S$27,'300'!$A:$A,"&lt;="&amp;S$28)+sumifs('600.VPA'!$D:$D,'600.VPA'!$B:$B,$D41,'600.VPA'!$A:$A,"&gt;="&amp;S$27,'600.VPA'!$A:$A,"&lt;="&amp;S$28)</f>
        <v>0</v>
      </c>
      <c r="T41" s="109">
        <f>sumifs(Boss!$D:$D,Boss!$B:$B,$D41,Boss!$A:$A,"&gt;="&amp;T$27,Boss!$A:$A,"&lt;="&amp;T$28)+sumifs(VPA.Director!$D:$D,VPA.Director!$B:$B,$D41,VPA.Director!$A:$A,"&gt;="&amp;T$27,VPA.Director!$A:$A,"&lt;="&amp;T$28)+sumifs(ADC.Director!$D:$D,ADC.Director!$B:$B,$D41,ADC.Director!$A:$A,"&gt;="&amp;T$27,ADC.Director!$A:$A,"&lt;="&amp;T$28)+sumifs('000'!$D:$D,'000'!$B:$B,$D41,'000'!$A:$A,"&gt;="&amp;T$27,'000'!$A:$A,"&lt;="&amp;T$28)+sumifs('500'!$D:$D,'500'!$B:$B,$D41,'500'!$A:$A,"&gt;="&amp;T$27,'500'!$A:$A,"&lt;="&amp;T$28)+sumifs('300'!$D:$D,'300'!$B:$B,$D41,'300'!$A:$A,"&gt;="&amp;T$27,'300'!$A:$A,"&lt;="&amp;T$28)+sumifs('600.VPA'!$D:$D,'600.VPA'!$B:$B,$D41,'600.VPA'!$A:$A,"&gt;="&amp;T$27,'600.VPA'!$A:$A,"&lt;="&amp;T$28)</f>
        <v>0</v>
      </c>
      <c r="U41" s="86"/>
      <c r="V41" s="111">
        <f t="shared" si="1"/>
        <v>0</v>
      </c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7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</row>
    <row r="42" hidden="1">
      <c r="A42" s="86"/>
      <c r="B42" s="100"/>
      <c r="D42" s="107" t="s">
        <v>85</v>
      </c>
      <c r="E42" s="108" t="s">
        <v>17</v>
      </c>
      <c r="F42" s="107" t="s">
        <v>86</v>
      </c>
      <c r="G42" s="107" t="s">
        <v>87</v>
      </c>
      <c r="H42" s="107" t="s">
        <v>88</v>
      </c>
      <c r="I42" s="109">
        <f>sumifs(Boss!$D:$D,Boss!$B:$B,$D42,Boss!$A:$A,"&gt;="&amp;I$27,Boss!$A:$A,"&lt;="&amp;I$28)+sumifs(VPA.Director!$D:$D,VPA.Director!$B:$B,$D42,VPA.Director!$A:$A,"&gt;="&amp;I$27,VPA.Director!$A:$A,"&lt;="&amp;I$28)+sumifs(ADC.Director!$D:$D,ADC.Director!$B:$B,$D42,ADC.Director!$A:$A,"&gt;="&amp;I$27,ADC.Director!$A:$A,"&lt;="&amp;I$28)+sumifs('000'!$D:$D,'000'!$B:$B,$D42,'000'!$A:$A,"&gt;="&amp;I$27,'000'!$A:$A,"&lt;="&amp;I$28)+sumifs('500'!$D:$D,'500'!$B:$B,$D42,'500'!$A:$A,"&gt;="&amp;I$27,'500'!$A:$A,"&lt;="&amp;I$28)+sumifs('300'!$D:$D,'300'!$B:$B,$D42,'300'!$A:$A,"&gt;="&amp;I$27,'300'!$A:$A,"&lt;="&amp;I$28)+sumifs('600.VPA'!$D:$D,'600.VPA'!$B:$B,$D42,'600.VPA'!$A:$A,"&gt;="&amp;I$27,'600.VPA'!$A:$A,"&lt;="&amp;I$28)</f>
        <v>0</v>
      </c>
      <c r="J42" s="109">
        <f>sumifs(Boss!$D:$D,Boss!$B:$B,$D42,Boss!$A:$A,"&gt;="&amp;J$27,Boss!$A:$A,"&lt;="&amp;J$28)+sumifs(VPA.Director!$D:$D,VPA.Director!$B:$B,$D42,VPA.Director!$A:$A,"&gt;="&amp;J$27,VPA.Director!$A:$A,"&lt;="&amp;J$28)+sumifs(ADC.Director!$D:$D,ADC.Director!$B:$B,$D42,ADC.Director!$A:$A,"&gt;="&amp;J$27,ADC.Director!$A:$A,"&lt;="&amp;J$28)+sumifs('000'!$D:$D,'000'!$B:$B,$D42,'000'!$A:$A,"&gt;="&amp;J$27,'000'!$A:$A,"&lt;="&amp;J$28)+sumifs('500'!$D:$D,'500'!$B:$B,$D42,'500'!$A:$A,"&gt;="&amp;J$27,'500'!$A:$A,"&lt;="&amp;J$28)+sumifs('300'!$D:$D,'300'!$B:$B,$D42,'300'!$A:$A,"&gt;="&amp;J$27,'300'!$A:$A,"&lt;="&amp;J$28)+sumifs('600.VPA'!$D:$D,'600.VPA'!$B:$B,$D42,'600.VPA'!$A:$A,"&gt;="&amp;J$27,'600.VPA'!$A:$A,"&lt;="&amp;J$28)</f>
        <v>0</v>
      </c>
      <c r="K42" s="109">
        <f>sumifs(Boss!$D:$D,Boss!$B:$B,$D42,Boss!$A:$A,"&gt;="&amp;K$27,Boss!$A:$A,"&lt;="&amp;K$28)+sumifs(VPA.Director!$D:$D,VPA.Director!$B:$B,$D42,VPA.Director!$A:$A,"&gt;="&amp;K$27,VPA.Director!$A:$A,"&lt;="&amp;K$28)+sumifs(ADC.Director!$D:$D,ADC.Director!$B:$B,$D42,ADC.Director!$A:$A,"&gt;="&amp;K$27,ADC.Director!$A:$A,"&lt;="&amp;K$28)+sumifs('000'!$D:$D,'000'!$B:$B,$D42,'000'!$A:$A,"&gt;="&amp;K$27,'000'!$A:$A,"&lt;="&amp;K$28)+sumifs('500'!$D:$D,'500'!$B:$B,$D42,'500'!$A:$A,"&gt;="&amp;K$27,'500'!$A:$A,"&lt;="&amp;K$28)+sumifs('300'!$D:$D,'300'!$B:$B,$D42,'300'!$A:$A,"&gt;="&amp;K$27,'300'!$A:$A,"&lt;="&amp;K$28)+sumifs('600.VPA'!$D:$D,'600.VPA'!$B:$B,$D42,'600.VPA'!$A:$A,"&gt;="&amp;K$27,'600.VPA'!$A:$A,"&lt;="&amp;K$28)</f>
        <v>0</v>
      </c>
      <c r="L42" s="109">
        <f>sumifs(Boss!$D:$D,Boss!$B:$B,$D42,Boss!$A:$A,"&gt;="&amp;L$27,Boss!$A:$A,"&lt;="&amp;L$28)+sumifs(VPA.Director!$D:$D,VPA.Director!$B:$B,$D42,VPA.Director!$A:$A,"&gt;="&amp;L$27,VPA.Director!$A:$A,"&lt;="&amp;L$28)+sumifs(ADC.Director!$D:$D,ADC.Director!$B:$B,$D42,ADC.Director!$A:$A,"&gt;="&amp;L$27,ADC.Director!$A:$A,"&lt;="&amp;L$28)+sumifs('000'!$D:$D,'000'!$B:$B,$D42,'000'!$A:$A,"&gt;="&amp;L$27,'000'!$A:$A,"&lt;="&amp;L$28)+sumifs('500'!$D:$D,'500'!$B:$B,$D42,'500'!$A:$A,"&gt;="&amp;L$27,'500'!$A:$A,"&lt;="&amp;L$28)+sumifs('300'!$D:$D,'300'!$B:$B,$D42,'300'!$A:$A,"&gt;="&amp;L$27,'300'!$A:$A,"&lt;="&amp;L$28)+sumifs('600.VPA'!$D:$D,'600.VPA'!$B:$B,$D42,'600.VPA'!$A:$A,"&gt;="&amp;L$27,'600.VPA'!$A:$A,"&lt;="&amp;L$28)</f>
        <v>0</v>
      </c>
      <c r="M42" s="109">
        <f>sumifs(Boss!$D:$D,Boss!$B:$B,$D42,Boss!$A:$A,"&gt;="&amp;M$27,Boss!$A:$A,"&lt;="&amp;M$28)+sumifs(VPA.Director!$D:$D,VPA.Director!$B:$B,$D42,VPA.Director!$A:$A,"&gt;="&amp;M$27,VPA.Director!$A:$A,"&lt;="&amp;M$28)+sumifs(ADC.Director!$D:$D,ADC.Director!$B:$B,$D42,ADC.Director!$A:$A,"&gt;="&amp;M$27,ADC.Director!$A:$A,"&lt;="&amp;M$28)+sumifs('000'!$D:$D,'000'!$B:$B,$D42,'000'!$A:$A,"&gt;="&amp;M$27,'000'!$A:$A,"&lt;="&amp;M$28)+sumifs('500'!$D:$D,'500'!$B:$B,$D42,'500'!$A:$A,"&gt;="&amp;M$27,'500'!$A:$A,"&lt;="&amp;M$28)+sumifs('300'!$D:$D,'300'!$B:$B,$D42,'300'!$A:$A,"&gt;="&amp;M$27,'300'!$A:$A,"&lt;="&amp;M$28)+sumifs('600.VPA'!$D:$D,'600.VPA'!$B:$B,$D42,'600.VPA'!$A:$A,"&gt;="&amp;M$27,'600.VPA'!$A:$A,"&lt;="&amp;M$28)</f>
        <v>0</v>
      </c>
      <c r="N42" s="109">
        <f>sumifs(Boss!$D:$D,Boss!$B:$B,$D42,Boss!$A:$A,"&gt;="&amp;N$27,Boss!$A:$A,"&lt;="&amp;N$28)+sumifs(VPA.Director!$D:$D,VPA.Director!$B:$B,$D42,VPA.Director!$A:$A,"&gt;="&amp;N$27,VPA.Director!$A:$A,"&lt;="&amp;N$28)+sumifs(ADC.Director!$D:$D,ADC.Director!$B:$B,$D42,ADC.Director!$A:$A,"&gt;="&amp;N$27,ADC.Director!$A:$A,"&lt;="&amp;N$28)+sumifs('000'!$D:$D,'000'!$B:$B,$D42,'000'!$A:$A,"&gt;="&amp;N$27,'000'!$A:$A,"&lt;="&amp;N$28)+sumifs('500'!$D:$D,'500'!$B:$B,$D42,'500'!$A:$A,"&gt;="&amp;N$27,'500'!$A:$A,"&lt;="&amp;N$28)+sumifs('300'!$D:$D,'300'!$B:$B,$D42,'300'!$A:$A,"&gt;="&amp;N$27,'300'!$A:$A,"&lt;="&amp;N$28)+sumifs('600.VPA'!$D:$D,'600.VPA'!$B:$B,$D42,'600.VPA'!$A:$A,"&gt;="&amp;N$27,'600.VPA'!$A:$A,"&lt;="&amp;N$28)</f>
        <v>0</v>
      </c>
      <c r="O42" s="109">
        <f>sumifs(Boss!$D:$D,Boss!$B:$B,$D42,Boss!$A:$A,"&gt;="&amp;O$27,Boss!$A:$A,"&lt;="&amp;O$28)+sumifs(VPA.Director!$D:$D,VPA.Director!$B:$B,$D42,VPA.Director!$A:$A,"&gt;="&amp;O$27,VPA.Director!$A:$A,"&lt;="&amp;O$28)+sumifs(ADC.Director!$D:$D,ADC.Director!$B:$B,$D42,ADC.Director!$A:$A,"&gt;="&amp;O$27,ADC.Director!$A:$A,"&lt;="&amp;O$28)+sumifs('000'!$D:$D,'000'!$B:$B,$D42,'000'!$A:$A,"&gt;="&amp;O$27,'000'!$A:$A,"&lt;="&amp;O$28)+sumifs('500'!$D:$D,'500'!$B:$B,$D42,'500'!$A:$A,"&gt;="&amp;O$27,'500'!$A:$A,"&lt;="&amp;O$28)+sumifs('300'!$D:$D,'300'!$B:$B,$D42,'300'!$A:$A,"&gt;="&amp;O$27,'300'!$A:$A,"&lt;="&amp;O$28)+sumifs('600.VPA'!$D:$D,'600.VPA'!$B:$B,$D42,'600.VPA'!$A:$A,"&gt;="&amp;O$27,'600.VPA'!$A:$A,"&lt;="&amp;O$28)</f>
        <v>0</v>
      </c>
      <c r="P42" s="109">
        <f>sumifs(Boss!$D:$D,Boss!$B:$B,$D42,Boss!$A:$A,"&gt;="&amp;P$27,Boss!$A:$A,"&lt;="&amp;P$28)+sumifs(VPA.Director!$D:$D,VPA.Director!$B:$B,$D42,VPA.Director!$A:$A,"&gt;="&amp;P$27,VPA.Director!$A:$A,"&lt;="&amp;P$28)+sumifs(ADC.Director!$D:$D,ADC.Director!$B:$B,$D42,ADC.Director!$A:$A,"&gt;="&amp;P$27,ADC.Director!$A:$A,"&lt;="&amp;P$28)+sumifs('000'!$D:$D,'000'!$B:$B,$D42,'000'!$A:$A,"&gt;="&amp;P$27,'000'!$A:$A,"&lt;="&amp;P$28)+sumifs('500'!$D:$D,'500'!$B:$B,$D42,'500'!$A:$A,"&gt;="&amp;P$27,'500'!$A:$A,"&lt;="&amp;P$28)+sumifs('300'!$D:$D,'300'!$B:$B,$D42,'300'!$A:$A,"&gt;="&amp;P$27,'300'!$A:$A,"&lt;="&amp;P$28)+sumifs('600.VPA'!$D:$D,'600.VPA'!$B:$B,$D42,'600.VPA'!$A:$A,"&gt;="&amp;P$27,'600.VPA'!$A:$A,"&lt;="&amp;P$28)</f>
        <v>0</v>
      </c>
      <c r="Q42" s="109">
        <f>sumifs(Boss!$D:$D,Boss!$B:$B,$D42,Boss!$A:$A,"&gt;="&amp;Q$27,Boss!$A:$A,"&lt;="&amp;Q$28)+sumifs(VPA.Director!$D:$D,VPA.Director!$B:$B,$D42,VPA.Director!$A:$A,"&gt;="&amp;Q$27,VPA.Director!$A:$A,"&lt;="&amp;Q$28)+sumifs(ADC.Director!$D:$D,ADC.Director!$B:$B,$D42,ADC.Director!$A:$A,"&gt;="&amp;Q$27,ADC.Director!$A:$A,"&lt;="&amp;Q$28)+sumifs('000'!$D:$D,'000'!$B:$B,$D42,'000'!$A:$A,"&gt;="&amp;Q$27,'000'!$A:$A,"&lt;="&amp;Q$28)+sumifs('500'!$D:$D,'500'!$B:$B,$D42,'500'!$A:$A,"&gt;="&amp;Q$27,'500'!$A:$A,"&lt;="&amp;Q$28)+sumifs('300'!$D:$D,'300'!$B:$B,$D42,'300'!$A:$A,"&gt;="&amp;Q$27,'300'!$A:$A,"&lt;="&amp;Q$28)+sumifs('600.VPA'!$D:$D,'600.VPA'!$B:$B,$D42,'600.VPA'!$A:$A,"&gt;="&amp;Q$27,'600.VPA'!$A:$A,"&lt;="&amp;Q$28)</f>
        <v>0</v>
      </c>
      <c r="R42" s="109">
        <f>sumifs(Boss!$D:$D,Boss!$B:$B,$D42,Boss!$A:$A,"&gt;="&amp;R$27,Boss!$A:$A,"&lt;="&amp;R$28)+sumifs(VPA.Director!$D:$D,VPA.Director!$B:$B,$D42,VPA.Director!$A:$A,"&gt;="&amp;R$27,VPA.Director!$A:$A,"&lt;="&amp;R$28)+sumifs(ADC.Director!$D:$D,ADC.Director!$B:$B,$D42,ADC.Director!$A:$A,"&gt;="&amp;R$27,ADC.Director!$A:$A,"&lt;="&amp;R$28)+sumifs('000'!$D:$D,'000'!$B:$B,$D42,'000'!$A:$A,"&gt;="&amp;R$27,'000'!$A:$A,"&lt;="&amp;R$28)+sumifs('500'!$D:$D,'500'!$B:$B,$D42,'500'!$A:$A,"&gt;="&amp;R$27,'500'!$A:$A,"&lt;="&amp;R$28)+sumifs('300'!$D:$D,'300'!$B:$B,$D42,'300'!$A:$A,"&gt;="&amp;R$27,'300'!$A:$A,"&lt;="&amp;R$28)+sumifs('600.VPA'!$D:$D,'600.VPA'!$B:$B,$D42,'600.VPA'!$A:$A,"&gt;="&amp;R$27,'600.VPA'!$A:$A,"&lt;="&amp;R$28)</f>
        <v>0</v>
      </c>
      <c r="S42" s="109">
        <f>sumifs(Boss!$D:$D,Boss!$B:$B,$D42,Boss!$A:$A,"&gt;="&amp;S$27,Boss!$A:$A,"&lt;="&amp;S$28)+sumifs(VPA.Director!$D:$D,VPA.Director!$B:$B,$D42,VPA.Director!$A:$A,"&gt;="&amp;S$27,VPA.Director!$A:$A,"&lt;="&amp;S$28)+sumifs(ADC.Director!$D:$D,ADC.Director!$B:$B,$D42,ADC.Director!$A:$A,"&gt;="&amp;S$27,ADC.Director!$A:$A,"&lt;="&amp;S$28)+sumifs('000'!$D:$D,'000'!$B:$B,$D42,'000'!$A:$A,"&gt;="&amp;S$27,'000'!$A:$A,"&lt;="&amp;S$28)+sumifs('500'!$D:$D,'500'!$B:$B,$D42,'500'!$A:$A,"&gt;="&amp;S$27,'500'!$A:$A,"&lt;="&amp;S$28)+sumifs('300'!$D:$D,'300'!$B:$B,$D42,'300'!$A:$A,"&gt;="&amp;S$27,'300'!$A:$A,"&lt;="&amp;S$28)+sumifs('600.VPA'!$D:$D,'600.VPA'!$B:$B,$D42,'600.VPA'!$A:$A,"&gt;="&amp;S$27,'600.VPA'!$A:$A,"&lt;="&amp;S$28)</f>
        <v>0</v>
      </c>
      <c r="T42" s="109">
        <f>sumifs(Boss!$D:$D,Boss!$B:$B,$D42,Boss!$A:$A,"&gt;="&amp;T$27,Boss!$A:$A,"&lt;="&amp;T$28)+sumifs(VPA.Director!$D:$D,VPA.Director!$B:$B,$D42,VPA.Director!$A:$A,"&gt;="&amp;T$27,VPA.Director!$A:$A,"&lt;="&amp;T$28)+sumifs(ADC.Director!$D:$D,ADC.Director!$B:$B,$D42,ADC.Director!$A:$A,"&gt;="&amp;T$27,ADC.Director!$A:$A,"&lt;="&amp;T$28)+sumifs('000'!$D:$D,'000'!$B:$B,$D42,'000'!$A:$A,"&gt;="&amp;T$27,'000'!$A:$A,"&lt;="&amp;T$28)+sumifs('500'!$D:$D,'500'!$B:$B,$D42,'500'!$A:$A,"&gt;="&amp;T$27,'500'!$A:$A,"&lt;="&amp;T$28)+sumifs('300'!$D:$D,'300'!$B:$B,$D42,'300'!$A:$A,"&gt;="&amp;T$27,'300'!$A:$A,"&lt;="&amp;T$28)+sumifs('600.VPA'!$D:$D,'600.VPA'!$B:$B,$D42,'600.VPA'!$A:$A,"&gt;="&amp;T$27,'600.VPA'!$A:$A,"&lt;="&amp;T$28)</f>
        <v>0</v>
      </c>
      <c r="U42" s="86"/>
      <c r="V42" s="111">
        <f t="shared" si="1"/>
        <v>0</v>
      </c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7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</row>
    <row r="43" hidden="1">
      <c r="A43" s="86"/>
      <c r="B43" s="100"/>
      <c r="D43" s="107" t="s">
        <v>89</v>
      </c>
      <c r="E43" s="108" t="s">
        <v>90</v>
      </c>
      <c r="F43" s="107" t="s">
        <v>91</v>
      </c>
      <c r="G43" s="107" t="s">
        <v>92</v>
      </c>
      <c r="H43" s="107" t="s">
        <v>42</v>
      </c>
      <c r="I43" s="109">
        <f>sumifs(Boss!$D:$D,Boss!$B:$B,$D43,Boss!$A:$A,"&gt;="&amp;I$27,Boss!$A:$A,"&lt;="&amp;I$28)+sumifs(VPA.Director!$D:$D,VPA.Director!$B:$B,$D43,VPA.Director!$A:$A,"&gt;="&amp;I$27,VPA.Director!$A:$A,"&lt;="&amp;I$28)+sumifs(ADC.Director!$D:$D,ADC.Director!$B:$B,$D43,ADC.Director!$A:$A,"&gt;="&amp;I$27,ADC.Director!$A:$A,"&lt;="&amp;I$28)+sumifs('000'!$D:$D,'000'!$B:$B,$D43,'000'!$A:$A,"&gt;="&amp;I$27,'000'!$A:$A,"&lt;="&amp;I$28)+sumifs('500'!$D:$D,'500'!$B:$B,$D43,'500'!$A:$A,"&gt;="&amp;I$27,'500'!$A:$A,"&lt;="&amp;I$28)+sumifs('300'!$D:$D,'300'!$B:$B,$D43,'300'!$A:$A,"&gt;="&amp;I$27,'300'!$A:$A,"&lt;="&amp;I$28)+sumifs('600.VPA'!$D:$D,'600.VPA'!$B:$B,$D43,'600.VPA'!$A:$A,"&gt;="&amp;I$27,'600.VPA'!$A:$A,"&lt;="&amp;I$28)</f>
        <v>0</v>
      </c>
      <c r="J43" s="109">
        <f>sumifs(Boss!$D:$D,Boss!$B:$B,$D43,Boss!$A:$A,"&gt;="&amp;J$27,Boss!$A:$A,"&lt;="&amp;J$28)+sumifs(VPA.Director!$D:$D,VPA.Director!$B:$B,$D43,VPA.Director!$A:$A,"&gt;="&amp;J$27,VPA.Director!$A:$A,"&lt;="&amp;J$28)+sumifs(ADC.Director!$D:$D,ADC.Director!$B:$B,$D43,ADC.Director!$A:$A,"&gt;="&amp;J$27,ADC.Director!$A:$A,"&lt;="&amp;J$28)+sumifs('000'!$D:$D,'000'!$B:$B,$D43,'000'!$A:$A,"&gt;="&amp;J$27,'000'!$A:$A,"&lt;="&amp;J$28)+sumifs('500'!$D:$D,'500'!$B:$B,$D43,'500'!$A:$A,"&gt;="&amp;J$27,'500'!$A:$A,"&lt;="&amp;J$28)+sumifs('300'!$D:$D,'300'!$B:$B,$D43,'300'!$A:$A,"&gt;="&amp;J$27,'300'!$A:$A,"&lt;="&amp;J$28)+sumifs('600.VPA'!$D:$D,'600.VPA'!$B:$B,$D43,'600.VPA'!$A:$A,"&gt;="&amp;J$27,'600.VPA'!$A:$A,"&lt;="&amp;J$28)</f>
        <v>0</v>
      </c>
      <c r="K43" s="109">
        <f>sumifs(Boss!$D:$D,Boss!$B:$B,$D43,Boss!$A:$A,"&gt;="&amp;K$27,Boss!$A:$A,"&lt;="&amp;K$28)+sumifs(VPA.Director!$D:$D,VPA.Director!$B:$B,$D43,VPA.Director!$A:$A,"&gt;="&amp;K$27,VPA.Director!$A:$A,"&lt;="&amp;K$28)+sumifs(ADC.Director!$D:$D,ADC.Director!$B:$B,$D43,ADC.Director!$A:$A,"&gt;="&amp;K$27,ADC.Director!$A:$A,"&lt;="&amp;K$28)+sumifs('000'!$D:$D,'000'!$B:$B,$D43,'000'!$A:$A,"&gt;="&amp;K$27,'000'!$A:$A,"&lt;="&amp;K$28)+sumifs('500'!$D:$D,'500'!$B:$B,$D43,'500'!$A:$A,"&gt;="&amp;K$27,'500'!$A:$A,"&lt;="&amp;K$28)+sumifs('300'!$D:$D,'300'!$B:$B,$D43,'300'!$A:$A,"&gt;="&amp;K$27,'300'!$A:$A,"&lt;="&amp;K$28)+sumifs('600.VPA'!$D:$D,'600.VPA'!$B:$B,$D43,'600.VPA'!$A:$A,"&gt;="&amp;K$27,'600.VPA'!$A:$A,"&lt;="&amp;K$28)</f>
        <v>0</v>
      </c>
      <c r="L43" s="109">
        <f>sumifs(Boss!$D:$D,Boss!$B:$B,$D43,Boss!$A:$A,"&gt;="&amp;L$27,Boss!$A:$A,"&lt;="&amp;L$28)+sumifs(VPA.Director!$D:$D,VPA.Director!$B:$B,$D43,VPA.Director!$A:$A,"&gt;="&amp;L$27,VPA.Director!$A:$A,"&lt;="&amp;L$28)+sumifs(ADC.Director!$D:$D,ADC.Director!$B:$B,$D43,ADC.Director!$A:$A,"&gt;="&amp;L$27,ADC.Director!$A:$A,"&lt;="&amp;L$28)+sumifs('000'!$D:$D,'000'!$B:$B,$D43,'000'!$A:$A,"&gt;="&amp;L$27,'000'!$A:$A,"&lt;="&amp;L$28)+sumifs('500'!$D:$D,'500'!$B:$B,$D43,'500'!$A:$A,"&gt;="&amp;L$27,'500'!$A:$A,"&lt;="&amp;L$28)+sumifs('300'!$D:$D,'300'!$B:$B,$D43,'300'!$A:$A,"&gt;="&amp;L$27,'300'!$A:$A,"&lt;="&amp;L$28)+sumifs('600.VPA'!$D:$D,'600.VPA'!$B:$B,$D43,'600.VPA'!$A:$A,"&gt;="&amp;L$27,'600.VPA'!$A:$A,"&lt;="&amp;L$28)</f>
        <v>0</v>
      </c>
      <c r="M43" s="109">
        <f>sumifs(Boss!$D:$D,Boss!$B:$B,$D43,Boss!$A:$A,"&gt;="&amp;M$27,Boss!$A:$A,"&lt;="&amp;M$28)+sumifs(VPA.Director!$D:$D,VPA.Director!$B:$B,$D43,VPA.Director!$A:$A,"&gt;="&amp;M$27,VPA.Director!$A:$A,"&lt;="&amp;M$28)+sumifs(ADC.Director!$D:$D,ADC.Director!$B:$B,$D43,ADC.Director!$A:$A,"&gt;="&amp;M$27,ADC.Director!$A:$A,"&lt;="&amp;M$28)+sumifs('000'!$D:$D,'000'!$B:$B,$D43,'000'!$A:$A,"&gt;="&amp;M$27,'000'!$A:$A,"&lt;="&amp;M$28)+sumifs('500'!$D:$D,'500'!$B:$B,$D43,'500'!$A:$A,"&gt;="&amp;M$27,'500'!$A:$A,"&lt;="&amp;M$28)+sumifs('300'!$D:$D,'300'!$B:$B,$D43,'300'!$A:$A,"&gt;="&amp;M$27,'300'!$A:$A,"&lt;="&amp;M$28)+sumifs('600.VPA'!$D:$D,'600.VPA'!$B:$B,$D43,'600.VPA'!$A:$A,"&gt;="&amp;M$27,'600.VPA'!$A:$A,"&lt;="&amp;M$28)</f>
        <v>0</v>
      </c>
      <c r="N43" s="109">
        <f>sumifs(Boss!$D:$D,Boss!$B:$B,$D43,Boss!$A:$A,"&gt;="&amp;N$27,Boss!$A:$A,"&lt;="&amp;N$28)+sumifs(VPA.Director!$D:$D,VPA.Director!$B:$B,$D43,VPA.Director!$A:$A,"&gt;="&amp;N$27,VPA.Director!$A:$A,"&lt;="&amp;N$28)+sumifs(ADC.Director!$D:$D,ADC.Director!$B:$B,$D43,ADC.Director!$A:$A,"&gt;="&amp;N$27,ADC.Director!$A:$A,"&lt;="&amp;N$28)+sumifs('000'!$D:$D,'000'!$B:$B,$D43,'000'!$A:$A,"&gt;="&amp;N$27,'000'!$A:$A,"&lt;="&amp;N$28)+sumifs('500'!$D:$D,'500'!$B:$B,$D43,'500'!$A:$A,"&gt;="&amp;N$27,'500'!$A:$A,"&lt;="&amp;N$28)+sumifs('300'!$D:$D,'300'!$B:$B,$D43,'300'!$A:$A,"&gt;="&amp;N$27,'300'!$A:$A,"&lt;="&amp;N$28)+sumifs('600.VPA'!$D:$D,'600.VPA'!$B:$B,$D43,'600.VPA'!$A:$A,"&gt;="&amp;N$27,'600.VPA'!$A:$A,"&lt;="&amp;N$28)</f>
        <v>0</v>
      </c>
      <c r="O43" s="109">
        <f>sumifs(Boss!$D:$D,Boss!$B:$B,$D43,Boss!$A:$A,"&gt;="&amp;O$27,Boss!$A:$A,"&lt;="&amp;O$28)+sumifs(VPA.Director!$D:$D,VPA.Director!$B:$B,$D43,VPA.Director!$A:$A,"&gt;="&amp;O$27,VPA.Director!$A:$A,"&lt;="&amp;O$28)+sumifs(ADC.Director!$D:$D,ADC.Director!$B:$B,$D43,ADC.Director!$A:$A,"&gt;="&amp;O$27,ADC.Director!$A:$A,"&lt;="&amp;O$28)+sumifs('000'!$D:$D,'000'!$B:$B,$D43,'000'!$A:$A,"&gt;="&amp;O$27,'000'!$A:$A,"&lt;="&amp;O$28)+sumifs('500'!$D:$D,'500'!$B:$B,$D43,'500'!$A:$A,"&gt;="&amp;O$27,'500'!$A:$A,"&lt;="&amp;O$28)+sumifs('300'!$D:$D,'300'!$B:$B,$D43,'300'!$A:$A,"&gt;="&amp;O$27,'300'!$A:$A,"&lt;="&amp;O$28)+sumifs('600.VPA'!$D:$D,'600.VPA'!$B:$B,$D43,'600.VPA'!$A:$A,"&gt;="&amp;O$27,'600.VPA'!$A:$A,"&lt;="&amp;O$28)</f>
        <v>0</v>
      </c>
      <c r="P43" s="109">
        <f>sumifs(Boss!$D:$D,Boss!$B:$B,$D43,Boss!$A:$A,"&gt;="&amp;P$27,Boss!$A:$A,"&lt;="&amp;P$28)+sumifs(VPA.Director!$D:$D,VPA.Director!$B:$B,$D43,VPA.Director!$A:$A,"&gt;="&amp;P$27,VPA.Director!$A:$A,"&lt;="&amp;P$28)+sumifs(ADC.Director!$D:$D,ADC.Director!$B:$B,$D43,ADC.Director!$A:$A,"&gt;="&amp;P$27,ADC.Director!$A:$A,"&lt;="&amp;P$28)+sumifs('000'!$D:$D,'000'!$B:$B,$D43,'000'!$A:$A,"&gt;="&amp;P$27,'000'!$A:$A,"&lt;="&amp;P$28)+sumifs('500'!$D:$D,'500'!$B:$B,$D43,'500'!$A:$A,"&gt;="&amp;P$27,'500'!$A:$A,"&lt;="&amp;P$28)+sumifs('300'!$D:$D,'300'!$B:$B,$D43,'300'!$A:$A,"&gt;="&amp;P$27,'300'!$A:$A,"&lt;="&amp;P$28)+sumifs('600.VPA'!$D:$D,'600.VPA'!$B:$B,$D43,'600.VPA'!$A:$A,"&gt;="&amp;P$27,'600.VPA'!$A:$A,"&lt;="&amp;P$28)</f>
        <v>0</v>
      </c>
      <c r="Q43" s="109">
        <f>sumifs(Boss!$D:$D,Boss!$B:$B,$D43,Boss!$A:$A,"&gt;="&amp;Q$27,Boss!$A:$A,"&lt;="&amp;Q$28)+sumifs(VPA.Director!$D:$D,VPA.Director!$B:$B,$D43,VPA.Director!$A:$A,"&gt;="&amp;Q$27,VPA.Director!$A:$A,"&lt;="&amp;Q$28)+sumifs(ADC.Director!$D:$D,ADC.Director!$B:$B,$D43,ADC.Director!$A:$A,"&gt;="&amp;Q$27,ADC.Director!$A:$A,"&lt;="&amp;Q$28)+sumifs('000'!$D:$D,'000'!$B:$B,$D43,'000'!$A:$A,"&gt;="&amp;Q$27,'000'!$A:$A,"&lt;="&amp;Q$28)+sumifs('500'!$D:$D,'500'!$B:$B,$D43,'500'!$A:$A,"&gt;="&amp;Q$27,'500'!$A:$A,"&lt;="&amp;Q$28)+sumifs('300'!$D:$D,'300'!$B:$B,$D43,'300'!$A:$A,"&gt;="&amp;Q$27,'300'!$A:$A,"&lt;="&amp;Q$28)+sumifs('600.VPA'!$D:$D,'600.VPA'!$B:$B,$D43,'600.VPA'!$A:$A,"&gt;="&amp;Q$27,'600.VPA'!$A:$A,"&lt;="&amp;Q$28)</f>
        <v>0</v>
      </c>
      <c r="R43" s="109">
        <f>sumifs(Boss!$D:$D,Boss!$B:$B,$D43,Boss!$A:$A,"&gt;="&amp;R$27,Boss!$A:$A,"&lt;="&amp;R$28)+sumifs(VPA.Director!$D:$D,VPA.Director!$B:$B,$D43,VPA.Director!$A:$A,"&gt;="&amp;R$27,VPA.Director!$A:$A,"&lt;="&amp;R$28)+sumifs(ADC.Director!$D:$D,ADC.Director!$B:$B,$D43,ADC.Director!$A:$A,"&gt;="&amp;R$27,ADC.Director!$A:$A,"&lt;="&amp;R$28)+sumifs('000'!$D:$D,'000'!$B:$B,$D43,'000'!$A:$A,"&gt;="&amp;R$27,'000'!$A:$A,"&lt;="&amp;R$28)+sumifs('500'!$D:$D,'500'!$B:$B,$D43,'500'!$A:$A,"&gt;="&amp;R$27,'500'!$A:$A,"&lt;="&amp;R$28)+sumifs('300'!$D:$D,'300'!$B:$B,$D43,'300'!$A:$A,"&gt;="&amp;R$27,'300'!$A:$A,"&lt;="&amp;R$28)+sumifs('600.VPA'!$D:$D,'600.VPA'!$B:$B,$D43,'600.VPA'!$A:$A,"&gt;="&amp;R$27,'600.VPA'!$A:$A,"&lt;="&amp;R$28)</f>
        <v>0</v>
      </c>
      <c r="S43" s="109">
        <f>sumifs(Boss!$D:$D,Boss!$B:$B,$D43,Boss!$A:$A,"&gt;="&amp;S$27,Boss!$A:$A,"&lt;="&amp;S$28)+sumifs(VPA.Director!$D:$D,VPA.Director!$B:$B,$D43,VPA.Director!$A:$A,"&gt;="&amp;S$27,VPA.Director!$A:$A,"&lt;="&amp;S$28)+sumifs(ADC.Director!$D:$D,ADC.Director!$B:$B,$D43,ADC.Director!$A:$A,"&gt;="&amp;S$27,ADC.Director!$A:$A,"&lt;="&amp;S$28)+sumifs('000'!$D:$D,'000'!$B:$B,$D43,'000'!$A:$A,"&gt;="&amp;S$27,'000'!$A:$A,"&lt;="&amp;S$28)+sumifs('500'!$D:$D,'500'!$B:$B,$D43,'500'!$A:$A,"&gt;="&amp;S$27,'500'!$A:$A,"&lt;="&amp;S$28)+sumifs('300'!$D:$D,'300'!$B:$B,$D43,'300'!$A:$A,"&gt;="&amp;S$27,'300'!$A:$A,"&lt;="&amp;S$28)+sumifs('600.VPA'!$D:$D,'600.VPA'!$B:$B,$D43,'600.VPA'!$A:$A,"&gt;="&amp;S$27,'600.VPA'!$A:$A,"&lt;="&amp;S$28)</f>
        <v>0</v>
      </c>
      <c r="T43" s="109">
        <f>sumifs(Boss!$D:$D,Boss!$B:$B,$D43,Boss!$A:$A,"&gt;="&amp;T$27,Boss!$A:$A,"&lt;="&amp;T$28)+sumifs(VPA.Director!$D:$D,VPA.Director!$B:$B,$D43,VPA.Director!$A:$A,"&gt;="&amp;T$27,VPA.Director!$A:$A,"&lt;="&amp;T$28)+sumifs(ADC.Director!$D:$D,ADC.Director!$B:$B,$D43,ADC.Director!$A:$A,"&gt;="&amp;T$27,ADC.Director!$A:$A,"&lt;="&amp;T$28)+sumifs('000'!$D:$D,'000'!$B:$B,$D43,'000'!$A:$A,"&gt;="&amp;T$27,'000'!$A:$A,"&lt;="&amp;T$28)+sumifs('500'!$D:$D,'500'!$B:$B,$D43,'500'!$A:$A,"&gt;="&amp;T$27,'500'!$A:$A,"&lt;="&amp;T$28)+sumifs('300'!$D:$D,'300'!$B:$B,$D43,'300'!$A:$A,"&gt;="&amp;T$27,'300'!$A:$A,"&lt;="&amp;T$28)+sumifs('600.VPA'!$D:$D,'600.VPA'!$B:$B,$D43,'600.VPA'!$A:$A,"&gt;="&amp;T$27,'600.VPA'!$A:$A,"&lt;="&amp;T$28)</f>
        <v>0</v>
      </c>
      <c r="U43" s="86"/>
      <c r="V43" s="111">
        <f t="shared" si="1"/>
        <v>0</v>
      </c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7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</row>
    <row r="44" hidden="1">
      <c r="A44" s="86"/>
      <c r="B44" s="100"/>
      <c r="D44" s="107"/>
      <c r="E44" s="107"/>
      <c r="F44" s="107"/>
      <c r="G44" s="107"/>
      <c r="H44" s="107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86"/>
      <c r="V44" s="111">
        <f t="shared" si="1"/>
        <v>0</v>
      </c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7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</row>
    <row r="45" hidden="1">
      <c r="A45" s="86"/>
      <c r="B45" s="100"/>
      <c r="C45" s="112" t="s">
        <v>93</v>
      </c>
      <c r="D45" s="90" t="s">
        <v>94</v>
      </c>
      <c r="E45" s="113" t="s">
        <v>18</v>
      </c>
      <c r="F45" s="90" t="s">
        <v>95</v>
      </c>
      <c r="G45" s="90" t="s">
        <v>96</v>
      </c>
      <c r="H45" s="90" t="s">
        <v>97</v>
      </c>
      <c r="I45" s="114">
        <f>sumifs(Boss!$D:$D,Boss!$B:$B,$D45,Boss!$A:$A,"&gt;="&amp;I$27,Boss!$A:$A,"&lt;="&amp;I$28)+sumifs(VPA.Director!$D:$D,VPA.Director!$B:$B,$D45,VPA.Director!$A:$A,"&gt;="&amp;I$27,VPA.Director!$A:$A,"&lt;="&amp;I$28)+sumifs(ADC.Director!$D:$D,ADC.Director!$B:$B,$D45,ADC.Director!$A:$A,"&gt;="&amp;I$27,ADC.Director!$A:$A,"&lt;="&amp;I$28)+sumifs('000'!$D:$D,'000'!$B:$B,$D45,'000'!$A:$A,"&gt;="&amp;I$27,'000'!$A:$A,"&lt;="&amp;I$28)+sumifs('500'!$D:$D,'500'!$B:$B,$D45,'500'!$A:$A,"&gt;="&amp;I$27,'500'!$A:$A,"&lt;="&amp;I$28)+sumifs('300'!$D:$D,'300'!$B:$B,$D45,'300'!$A:$A,"&gt;="&amp;I$27,'300'!$A:$A,"&lt;="&amp;I$28)+sumifs('600.VPA'!$D:$D,'600.VPA'!$B:$B,$D45,'600.VPA'!$A:$A,"&gt;="&amp;I$27,'600.VPA'!$A:$A,"&lt;="&amp;I$28)</f>
        <v>0</v>
      </c>
      <c r="J45" s="114">
        <f>sumifs(Boss!$D:$D,Boss!$B:$B,$D45,Boss!$A:$A,"&gt;="&amp;J$27,Boss!$A:$A,"&lt;="&amp;J$28)+sumifs(VPA.Director!$D:$D,VPA.Director!$B:$B,$D45,VPA.Director!$A:$A,"&gt;="&amp;J$27,VPA.Director!$A:$A,"&lt;="&amp;J$28)+sumifs(ADC.Director!$D:$D,ADC.Director!$B:$B,$D45,ADC.Director!$A:$A,"&gt;="&amp;J$27,ADC.Director!$A:$A,"&lt;="&amp;J$28)+sumifs('000'!$D:$D,'000'!$B:$B,$D45,'000'!$A:$A,"&gt;="&amp;J$27,'000'!$A:$A,"&lt;="&amp;J$28)+sumifs('500'!$D:$D,'500'!$B:$B,$D45,'500'!$A:$A,"&gt;="&amp;J$27,'500'!$A:$A,"&lt;="&amp;J$28)+sumifs('300'!$D:$D,'300'!$B:$B,$D45,'300'!$A:$A,"&gt;="&amp;J$27,'300'!$A:$A,"&lt;="&amp;J$28)+sumifs('600.VPA'!$D:$D,'600.VPA'!$B:$B,$D45,'600.VPA'!$A:$A,"&gt;="&amp;J$27,'600.VPA'!$A:$A,"&lt;="&amp;J$28)</f>
        <v>0</v>
      </c>
      <c r="K45" s="114">
        <f>sumifs(Boss!$D:$D,Boss!$B:$B,$D45,Boss!$A:$A,"&gt;="&amp;K$27,Boss!$A:$A,"&lt;="&amp;K$28)+sumifs(VPA.Director!$D:$D,VPA.Director!$B:$B,$D45,VPA.Director!$A:$A,"&gt;="&amp;K$27,VPA.Director!$A:$A,"&lt;="&amp;K$28)+sumifs(ADC.Director!$D:$D,ADC.Director!$B:$B,$D45,ADC.Director!$A:$A,"&gt;="&amp;K$27,ADC.Director!$A:$A,"&lt;="&amp;K$28)+sumifs('000'!$D:$D,'000'!$B:$B,$D45,'000'!$A:$A,"&gt;="&amp;K$27,'000'!$A:$A,"&lt;="&amp;K$28)+sumifs('500'!$D:$D,'500'!$B:$B,$D45,'500'!$A:$A,"&gt;="&amp;K$27,'500'!$A:$A,"&lt;="&amp;K$28)+sumifs('300'!$D:$D,'300'!$B:$B,$D45,'300'!$A:$A,"&gt;="&amp;K$27,'300'!$A:$A,"&lt;="&amp;K$28)+sumifs('600.VPA'!$D:$D,'600.VPA'!$B:$B,$D45,'600.VPA'!$A:$A,"&gt;="&amp;K$27,'600.VPA'!$A:$A,"&lt;="&amp;K$28)</f>
        <v>0</v>
      </c>
      <c r="L45" s="114">
        <f>sumifs(Boss!$D:$D,Boss!$B:$B,$D45,Boss!$A:$A,"&gt;="&amp;L$27,Boss!$A:$A,"&lt;="&amp;L$28)+sumifs(VPA.Director!$D:$D,VPA.Director!$B:$B,$D45,VPA.Director!$A:$A,"&gt;="&amp;L$27,VPA.Director!$A:$A,"&lt;="&amp;L$28)+sumifs(ADC.Director!$D:$D,ADC.Director!$B:$B,$D45,ADC.Director!$A:$A,"&gt;="&amp;L$27,ADC.Director!$A:$A,"&lt;="&amp;L$28)+sumifs('000'!$D:$D,'000'!$B:$B,$D45,'000'!$A:$A,"&gt;="&amp;L$27,'000'!$A:$A,"&lt;="&amp;L$28)+sumifs('500'!$D:$D,'500'!$B:$B,$D45,'500'!$A:$A,"&gt;="&amp;L$27,'500'!$A:$A,"&lt;="&amp;L$28)+sumifs('300'!$D:$D,'300'!$B:$B,$D45,'300'!$A:$A,"&gt;="&amp;L$27,'300'!$A:$A,"&lt;="&amp;L$28)+sumifs('600.VPA'!$D:$D,'600.VPA'!$B:$B,$D45,'600.VPA'!$A:$A,"&gt;="&amp;L$27,'600.VPA'!$A:$A,"&lt;="&amp;L$28)</f>
        <v>0</v>
      </c>
      <c r="M45" s="114">
        <f>sumifs(Boss!$D:$D,Boss!$B:$B,$D45,Boss!$A:$A,"&gt;="&amp;M$27,Boss!$A:$A,"&lt;="&amp;M$28)+sumifs(VPA.Director!$D:$D,VPA.Director!$B:$B,$D45,VPA.Director!$A:$A,"&gt;="&amp;M$27,VPA.Director!$A:$A,"&lt;="&amp;M$28)+sumifs(ADC.Director!$D:$D,ADC.Director!$B:$B,$D45,ADC.Director!$A:$A,"&gt;="&amp;M$27,ADC.Director!$A:$A,"&lt;="&amp;M$28)+sumifs('000'!$D:$D,'000'!$B:$B,$D45,'000'!$A:$A,"&gt;="&amp;M$27,'000'!$A:$A,"&lt;="&amp;M$28)+sumifs('500'!$D:$D,'500'!$B:$B,$D45,'500'!$A:$A,"&gt;="&amp;M$27,'500'!$A:$A,"&lt;="&amp;M$28)+sumifs('300'!$D:$D,'300'!$B:$B,$D45,'300'!$A:$A,"&gt;="&amp;M$27,'300'!$A:$A,"&lt;="&amp;M$28)+sumifs('600.VPA'!$D:$D,'600.VPA'!$B:$B,$D45,'600.VPA'!$A:$A,"&gt;="&amp;M$27,'600.VPA'!$A:$A,"&lt;="&amp;M$28)</f>
        <v>0</v>
      </c>
      <c r="N45" s="114">
        <f>sumifs(Boss!$D:$D,Boss!$B:$B,$D45,Boss!$A:$A,"&gt;="&amp;N$27,Boss!$A:$A,"&lt;="&amp;N$28)+sumifs(VPA.Director!$D:$D,VPA.Director!$B:$B,$D45,VPA.Director!$A:$A,"&gt;="&amp;N$27,VPA.Director!$A:$A,"&lt;="&amp;N$28)+sumifs(ADC.Director!$D:$D,ADC.Director!$B:$B,$D45,ADC.Director!$A:$A,"&gt;="&amp;N$27,ADC.Director!$A:$A,"&lt;="&amp;N$28)+sumifs('000'!$D:$D,'000'!$B:$B,$D45,'000'!$A:$A,"&gt;="&amp;N$27,'000'!$A:$A,"&lt;="&amp;N$28)+sumifs('500'!$D:$D,'500'!$B:$B,$D45,'500'!$A:$A,"&gt;="&amp;N$27,'500'!$A:$A,"&lt;="&amp;N$28)+sumifs('300'!$D:$D,'300'!$B:$B,$D45,'300'!$A:$A,"&gt;="&amp;N$27,'300'!$A:$A,"&lt;="&amp;N$28)+sumifs('600.VPA'!$D:$D,'600.VPA'!$B:$B,$D45,'600.VPA'!$A:$A,"&gt;="&amp;N$27,'600.VPA'!$A:$A,"&lt;="&amp;N$28)</f>
        <v>0</v>
      </c>
      <c r="O45" s="114">
        <f>sumifs(Boss!$D:$D,Boss!$B:$B,$D45,Boss!$A:$A,"&gt;="&amp;O$27,Boss!$A:$A,"&lt;="&amp;O$28)+sumifs(VPA.Director!$D:$D,VPA.Director!$B:$B,$D45,VPA.Director!$A:$A,"&gt;="&amp;O$27,VPA.Director!$A:$A,"&lt;="&amp;O$28)+sumifs(ADC.Director!$D:$D,ADC.Director!$B:$B,$D45,ADC.Director!$A:$A,"&gt;="&amp;O$27,ADC.Director!$A:$A,"&lt;="&amp;O$28)+sumifs('000'!$D:$D,'000'!$B:$B,$D45,'000'!$A:$A,"&gt;="&amp;O$27,'000'!$A:$A,"&lt;="&amp;O$28)+sumifs('500'!$D:$D,'500'!$B:$B,$D45,'500'!$A:$A,"&gt;="&amp;O$27,'500'!$A:$A,"&lt;="&amp;O$28)+sumifs('300'!$D:$D,'300'!$B:$B,$D45,'300'!$A:$A,"&gt;="&amp;O$27,'300'!$A:$A,"&lt;="&amp;O$28)+sumifs('600.VPA'!$D:$D,'600.VPA'!$B:$B,$D45,'600.VPA'!$A:$A,"&gt;="&amp;O$27,'600.VPA'!$A:$A,"&lt;="&amp;O$28)</f>
        <v>0</v>
      </c>
      <c r="P45" s="114">
        <f>sumifs(Boss!$D:$D,Boss!$B:$B,$D45,Boss!$A:$A,"&gt;="&amp;P$27,Boss!$A:$A,"&lt;="&amp;P$28)+sumifs(VPA.Director!$D:$D,VPA.Director!$B:$B,$D45,VPA.Director!$A:$A,"&gt;="&amp;P$27,VPA.Director!$A:$A,"&lt;="&amp;P$28)+sumifs(ADC.Director!$D:$D,ADC.Director!$B:$B,$D45,ADC.Director!$A:$A,"&gt;="&amp;P$27,ADC.Director!$A:$A,"&lt;="&amp;P$28)+sumifs('000'!$D:$D,'000'!$B:$B,$D45,'000'!$A:$A,"&gt;="&amp;P$27,'000'!$A:$A,"&lt;="&amp;P$28)+sumifs('500'!$D:$D,'500'!$B:$B,$D45,'500'!$A:$A,"&gt;="&amp;P$27,'500'!$A:$A,"&lt;="&amp;P$28)+sumifs('300'!$D:$D,'300'!$B:$B,$D45,'300'!$A:$A,"&gt;="&amp;P$27,'300'!$A:$A,"&lt;="&amp;P$28)+sumifs('600.VPA'!$D:$D,'600.VPA'!$B:$B,$D45,'600.VPA'!$A:$A,"&gt;="&amp;P$27,'600.VPA'!$A:$A,"&lt;="&amp;P$28)</f>
        <v>0</v>
      </c>
      <c r="Q45" s="114">
        <f>sumifs(Boss!$D:$D,Boss!$B:$B,$D45,Boss!$A:$A,"&gt;="&amp;Q$27,Boss!$A:$A,"&lt;="&amp;Q$28)+sumifs(VPA.Director!$D:$D,VPA.Director!$B:$B,$D45,VPA.Director!$A:$A,"&gt;="&amp;Q$27,VPA.Director!$A:$A,"&lt;="&amp;Q$28)+sumifs(ADC.Director!$D:$D,ADC.Director!$B:$B,$D45,ADC.Director!$A:$A,"&gt;="&amp;Q$27,ADC.Director!$A:$A,"&lt;="&amp;Q$28)+sumifs('000'!$D:$D,'000'!$B:$B,$D45,'000'!$A:$A,"&gt;="&amp;Q$27,'000'!$A:$A,"&lt;="&amp;Q$28)+sumifs('500'!$D:$D,'500'!$B:$B,$D45,'500'!$A:$A,"&gt;="&amp;Q$27,'500'!$A:$A,"&lt;="&amp;Q$28)+sumifs('300'!$D:$D,'300'!$B:$B,$D45,'300'!$A:$A,"&gt;="&amp;Q$27,'300'!$A:$A,"&lt;="&amp;Q$28)+sumifs('600.VPA'!$D:$D,'600.VPA'!$B:$B,$D45,'600.VPA'!$A:$A,"&gt;="&amp;Q$27,'600.VPA'!$A:$A,"&lt;="&amp;Q$28)</f>
        <v>0</v>
      </c>
      <c r="R45" s="114">
        <f>sumifs(Boss!$D:$D,Boss!$B:$B,$D45,Boss!$A:$A,"&gt;="&amp;R$27,Boss!$A:$A,"&lt;="&amp;R$28)+sumifs(VPA.Director!$D:$D,VPA.Director!$B:$B,$D45,VPA.Director!$A:$A,"&gt;="&amp;R$27,VPA.Director!$A:$A,"&lt;="&amp;R$28)+sumifs(ADC.Director!$D:$D,ADC.Director!$B:$B,$D45,ADC.Director!$A:$A,"&gt;="&amp;R$27,ADC.Director!$A:$A,"&lt;="&amp;R$28)+sumifs('000'!$D:$D,'000'!$B:$B,$D45,'000'!$A:$A,"&gt;="&amp;R$27,'000'!$A:$A,"&lt;="&amp;R$28)+sumifs('500'!$D:$D,'500'!$B:$B,$D45,'500'!$A:$A,"&gt;="&amp;R$27,'500'!$A:$A,"&lt;="&amp;R$28)+sumifs('300'!$D:$D,'300'!$B:$B,$D45,'300'!$A:$A,"&gt;="&amp;R$27,'300'!$A:$A,"&lt;="&amp;R$28)+sumifs('600.VPA'!$D:$D,'600.VPA'!$B:$B,$D45,'600.VPA'!$A:$A,"&gt;="&amp;R$27,'600.VPA'!$A:$A,"&lt;="&amp;R$28)</f>
        <v>0</v>
      </c>
      <c r="S45" s="114">
        <f>sumifs(Boss!$D:$D,Boss!$B:$B,$D45,Boss!$A:$A,"&gt;="&amp;S$27,Boss!$A:$A,"&lt;="&amp;S$28)+sumifs(VPA.Director!$D:$D,VPA.Director!$B:$B,$D45,VPA.Director!$A:$A,"&gt;="&amp;S$27,VPA.Director!$A:$A,"&lt;="&amp;S$28)+sumifs(ADC.Director!$D:$D,ADC.Director!$B:$B,$D45,ADC.Director!$A:$A,"&gt;="&amp;S$27,ADC.Director!$A:$A,"&lt;="&amp;S$28)+sumifs('000'!$D:$D,'000'!$B:$B,$D45,'000'!$A:$A,"&gt;="&amp;S$27,'000'!$A:$A,"&lt;="&amp;S$28)+sumifs('500'!$D:$D,'500'!$B:$B,$D45,'500'!$A:$A,"&gt;="&amp;S$27,'500'!$A:$A,"&lt;="&amp;S$28)+sumifs('300'!$D:$D,'300'!$B:$B,$D45,'300'!$A:$A,"&gt;="&amp;S$27,'300'!$A:$A,"&lt;="&amp;S$28)+sumifs('600.VPA'!$D:$D,'600.VPA'!$B:$B,$D45,'600.VPA'!$A:$A,"&gt;="&amp;S$27,'600.VPA'!$A:$A,"&lt;="&amp;S$28)</f>
        <v>0</v>
      </c>
      <c r="T45" s="114">
        <f>sumifs(Boss!$D:$D,Boss!$B:$B,$D45,Boss!$A:$A,"&gt;="&amp;T$27,Boss!$A:$A,"&lt;="&amp;T$28)+sumifs(VPA.Director!$D:$D,VPA.Director!$B:$B,$D45,VPA.Director!$A:$A,"&gt;="&amp;T$27,VPA.Director!$A:$A,"&lt;="&amp;T$28)+sumifs(ADC.Director!$D:$D,ADC.Director!$B:$B,$D45,ADC.Director!$A:$A,"&gt;="&amp;T$27,ADC.Director!$A:$A,"&lt;="&amp;T$28)+sumifs('000'!$D:$D,'000'!$B:$B,$D45,'000'!$A:$A,"&gt;="&amp;T$27,'000'!$A:$A,"&lt;="&amp;T$28)+sumifs('500'!$D:$D,'500'!$B:$B,$D45,'500'!$A:$A,"&gt;="&amp;T$27,'500'!$A:$A,"&lt;="&amp;T$28)+sumifs('300'!$D:$D,'300'!$B:$B,$D45,'300'!$A:$A,"&gt;="&amp;T$27,'300'!$A:$A,"&lt;="&amp;T$28)+sumifs('600.VPA'!$D:$D,'600.VPA'!$B:$B,$D45,'600.VPA'!$A:$A,"&gt;="&amp;T$27,'600.VPA'!$A:$A,"&lt;="&amp;T$28)</f>
        <v>0</v>
      </c>
      <c r="U45" s="86"/>
      <c r="V45" s="111">
        <f t="shared" si="1"/>
        <v>0</v>
      </c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7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</row>
    <row r="46" hidden="1">
      <c r="A46" s="86"/>
      <c r="B46" s="100"/>
      <c r="D46" s="90" t="s">
        <v>98</v>
      </c>
      <c r="E46" s="113" t="s">
        <v>19</v>
      </c>
      <c r="F46" s="90" t="s">
        <v>99</v>
      </c>
      <c r="G46" s="90" t="s">
        <v>100</v>
      </c>
      <c r="H46" s="90" t="s">
        <v>101</v>
      </c>
      <c r="I46" s="114">
        <f>sumifs(Boss!$D:$D,Boss!$B:$B,$D46,Boss!$A:$A,"&gt;="&amp;I$27,Boss!$A:$A,"&lt;="&amp;I$28)+sumifs(VPA.Director!$D:$D,VPA.Director!$B:$B,$D46,VPA.Director!$A:$A,"&gt;="&amp;I$27,VPA.Director!$A:$A,"&lt;="&amp;I$28)+sumifs(ADC.Director!$D:$D,ADC.Director!$B:$B,$D46,ADC.Director!$A:$A,"&gt;="&amp;I$27,ADC.Director!$A:$A,"&lt;="&amp;I$28)+sumifs('000'!$D:$D,'000'!$B:$B,$D46,'000'!$A:$A,"&gt;="&amp;I$27,'000'!$A:$A,"&lt;="&amp;I$28)+sumifs('500'!$D:$D,'500'!$B:$B,$D46,'500'!$A:$A,"&gt;="&amp;I$27,'500'!$A:$A,"&lt;="&amp;I$28)+sumifs('300'!$D:$D,'300'!$B:$B,$D46,'300'!$A:$A,"&gt;="&amp;I$27,'300'!$A:$A,"&lt;="&amp;I$28)+sumifs('600.VPA'!$D:$D,'600.VPA'!$B:$B,$D46,'600.VPA'!$A:$A,"&gt;="&amp;I$27,'600.VPA'!$A:$A,"&lt;="&amp;I$28)</f>
        <v>0</v>
      </c>
      <c r="J46" s="114">
        <f>sumifs(Boss!$D:$D,Boss!$B:$B,$D46,Boss!$A:$A,"&gt;="&amp;J$27,Boss!$A:$A,"&lt;="&amp;J$28)+sumifs(VPA.Director!$D:$D,VPA.Director!$B:$B,$D46,VPA.Director!$A:$A,"&gt;="&amp;J$27,VPA.Director!$A:$A,"&lt;="&amp;J$28)+sumifs(ADC.Director!$D:$D,ADC.Director!$B:$B,$D46,ADC.Director!$A:$A,"&gt;="&amp;J$27,ADC.Director!$A:$A,"&lt;="&amp;J$28)+sumifs('000'!$D:$D,'000'!$B:$B,$D46,'000'!$A:$A,"&gt;="&amp;J$27,'000'!$A:$A,"&lt;="&amp;J$28)+sumifs('500'!$D:$D,'500'!$B:$B,$D46,'500'!$A:$A,"&gt;="&amp;J$27,'500'!$A:$A,"&lt;="&amp;J$28)+sumifs('300'!$D:$D,'300'!$B:$B,$D46,'300'!$A:$A,"&gt;="&amp;J$27,'300'!$A:$A,"&lt;="&amp;J$28)+sumifs('600.VPA'!$D:$D,'600.VPA'!$B:$B,$D46,'600.VPA'!$A:$A,"&gt;="&amp;J$27,'600.VPA'!$A:$A,"&lt;="&amp;J$28)</f>
        <v>0</v>
      </c>
      <c r="K46" s="114">
        <f>sumifs(Boss!$D:$D,Boss!$B:$B,$D46,Boss!$A:$A,"&gt;="&amp;K$27,Boss!$A:$A,"&lt;="&amp;K$28)+sumifs(VPA.Director!$D:$D,VPA.Director!$B:$B,$D46,VPA.Director!$A:$A,"&gt;="&amp;K$27,VPA.Director!$A:$A,"&lt;="&amp;K$28)+sumifs(ADC.Director!$D:$D,ADC.Director!$B:$B,$D46,ADC.Director!$A:$A,"&gt;="&amp;K$27,ADC.Director!$A:$A,"&lt;="&amp;K$28)+sumifs('000'!$D:$D,'000'!$B:$B,$D46,'000'!$A:$A,"&gt;="&amp;K$27,'000'!$A:$A,"&lt;="&amp;K$28)+sumifs('500'!$D:$D,'500'!$B:$B,$D46,'500'!$A:$A,"&gt;="&amp;K$27,'500'!$A:$A,"&lt;="&amp;K$28)+sumifs('300'!$D:$D,'300'!$B:$B,$D46,'300'!$A:$A,"&gt;="&amp;K$27,'300'!$A:$A,"&lt;="&amp;K$28)+sumifs('600.VPA'!$D:$D,'600.VPA'!$B:$B,$D46,'600.VPA'!$A:$A,"&gt;="&amp;K$27,'600.VPA'!$A:$A,"&lt;="&amp;K$28)</f>
        <v>0</v>
      </c>
      <c r="L46" s="114">
        <f>sumifs(Boss!$D:$D,Boss!$B:$B,$D46,Boss!$A:$A,"&gt;="&amp;L$27,Boss!$A:$A,"&lt;="&amp;L$28)+sumifs(VPA.Director!$D:$D,VPA.Director!$B:$B,$D46,VPA.Director!$A:$A,"&gt;="&amp;L$27,VPA.Director!$A:$A,"&lt;="&amp;L$28)+sumifs(ADC.Director!$D:$D,ADC.Director!$B:$B,$D46,ADC.Director!$A:$A,"&gt;="&amp;L$27,ADC.Director!$A:$A,"&lt;="&amp;L$28)+sumifs('000'!$D:$D,'000'!$B:$B,$D46,'000'!$A:$A,"&gt;="&amp;L$27,'000'!$A:$A,"&lt;="&amp;L$28)+sumifs('500'!$D:$D,'500'!$B:$B,$D46,'500'!$A:$A,"&gt;="&amp;L$27,'500'!$A:$A,"&lt;="&amp;L$28)+sumifs('300'!$D:$D,'300'!$B:$B,$D46,'300'!$A:$A,"&gt;="&amp;L$27,'300'!$A:$A,"&lt;="&amp;L$28)+sumifs('600.VPA'!$D:$D,'600.VPA'!$B:$B,$D46,'600.VPA'!$A:$A,"&gt;="&amp;L$27,'600.VPA'!$A:$A,"&lt;="&amp;L$28)</f>
        <v>0</v>
      </c>
      <c r="M46" s="114">
        <f>sumifs(Boss!$D:$D,Boss!$B:$B,$D46,Boss!$A:$A,"&gt;="&amp;M$27,Boss!$A:$A,"&lt;="&amp;M$28)+sumifs(VPA.Director!$D:$D,VPA.Director!$B:$B,$D46,VPA.Director!$A:$A,"&gt;="&amp;M$27,VPA.Director!$A:$A,"&lt;="&amp;M$28)+sumifs(ADC.Director!$D:$D,ADC.Director!$B:$B,$D46,ADC.Director!$A:$A,"&gt;="&amp;M$27,ADC.Director!$A:$A,"&lt;="&amp;M$28)+sumifs('000'!$D:$D,'000'!$B:$B,$D46,'000'!$A:$A,"&gt;="&amp;M$27,'000'!$A:$A,"&lt;="&amp;M$28)+sumifs('500'!$D:$D,'500'!$B:$B,$D46,'500'!$A:$A,"&gt;="&amp;M$27,'500'!$A:$A,"&lt;="&amp;M$28)+sumifs('300'!$D:$D,'300'!$B:$B,$D46,'300'!$A:$A,"&gt;="&amp;M$27,'300'!$A:$A,"&lt;="&amp;M$28)+sumifs('600.VPA'!$D:$D,'600.VPA'!$B:$B,$D46,'600.VPA'!$A:$A,"&gt;="&amp;M$27,'600.VPA'!$A:$A,"&lt;="&amp;M$28)</f>
        <v>0</v>
      </c>
      <c r="N46" s="114">
        <f>sumifs(Boss!$D:$D,Boss!$B:$B,$D46,Boss!$A:$A,"&gt;="&amp;N$27,Boss!$A:$A,"&lt;="&amp;N$28)+sumifs(VPA.Director!$D:$D,VPA.Director!$B:$B,$D46,VPA.Director!$A:$A,"&gt;="&amp;N$27,VPA.Director!$A:$A,"&lt;="&amp;N$28)+sumifs(ADC.Director!$D:$D,ADC.Director!$B:$B,$D46,ADC.Director!$A:$A,"&gt;="&amp;N$27,ADC.Director!$A:$A,"&lt;="&amp;N$28)+sumifs('000'!$D:$D,'000'!$B:$B,$D46,'000'!$A:$A,"&gt;="&amp;N$27,'000'!$A:$A,"&lt;="&amp;N$28)+sumifs('500'!$D:$D,'500'!$B:$B,$D46,'500'!$A:$A,"&gt;="&amp;N$27,'500'!$A:$A,"&lt;="&amp;N$28)+sumifs('300'!$D:$D,'300'!$B:$B,$D46,'300'!$A:$A,"&gt;="&amp;N$27,'300'!$A:$A,"&lt;="&amp;N$28)+sumifs('600.VPA'!$D:$D,'600.VPA'!$B:$B,$D46,'600.VPA'!$A:$A,"&gt;="&amp;N$27,'600.VPA'!$A:$A,"&lt;="&amp;N$28)</f>
        <v>0</v>
      </c>
      <c r="O46" s="114">
        <f>sumifs(Boss!$D:$D,Boss!$B:$B,$D46,Boss!$A:$A,"&gt;="&amp;O$27,Boss!$A:$A,"&lt;="&amp;O$28)+sumifs(VPA.Director!$D:$D,VPA.Director!$B:$B,$D46,VPA.Director!$A:$A,"&gt;="&amp;O$27,VPA.Director!$A:$A,"&lt;="&amp;O$28)+sumifs(ADC.Director!$D:$D,ADC.Director!$B:$B,$D46,ADC.Director!$A:$A,"&gt;="&amp;O$27,ADC.Director!$A:$A,"&lt;="&amp;O$28)+sumifs('000'!$D:$D,'000'!$B:$B,$D46,'000'!$A:$A,"&gt;="&amp;O$27,'000'!$A:$A,"&lt;="&amp;O$28)+sumifs('500'!$D:$D,'500'!$B:$B,$D46,'500'!$A:$A,"&gt;="&amp;O$27,'500'!$A:$A,"&lt;="&amp;O$28)+sumifs('300'!$D:$D,'300'!$B:$B,$D46,'300'!$A:$A,"&gt;="&amp;O$27,'300'!$A:$A,"&lt;="&amp;O$28)+sumifs('600.VPA'!$D:$D,'600.VPA'!$B:$B,$D46,'600.VPA'!$A:$A,"&gt;="&amp;O$27,'600.VPA'!$A:$A,"&lt;="&amp;O$28)</f>
        <v>0</v>
      </c>
      <c r="P46" s="114">
        <f>sumifs(Boss!$D:$D,Boss!$B:$B,$D46,Boss!$A:$A,"&gt;="&amp;P$27,Boss!$A:$A,"&lt;="&amp;P$28)+sumifs(VPA.Director!$D:$D,VPA.Director!$B:$B,$D46,VPA.Director!$A:$A,"&gt;="&amp;P$27,VPA.Director!$A:$A,"&lt;="&amp;P$28)+sumifs(ADC.Director!$D:$D,ADC.Director!$B:$B,$D46,ADC.Director!$A:$A,"&gt;="&amp;P$27,ADC.Director!$A:$A,"&lt;="&amp;P$28)+sumifs('000'!$D:$D,'000'!$B:$B,$D46,'000'!$A:$A,"&gt;="&amp;P$27,'000'!$A:$A,"&lt;="&amp;P$28)+sumifs('500'!$D:$D,'500'!$B:$B,$D46,'500'!$A:$A,"&gt;="&amp;P$27,'500'!$A:$A,"&lt;="&amp;P$28)+sumifs('300'!$D:$D,'300'!$B:$B,$D46,'300'!$A:$A,"&gt;="&amp;P$27,'300'!$A:$A,"&lt;="&amp;P$28)+sumifs('600.VPA'!$D:$D,'600.VPA'!$B:$B,$D46,'600.VPA'!$A:$A,"&gt;="&amp;P$27,'600.VPA'!$A:$A,"&lt;="&amp;P$28)</f>
        <v>0</v>
      </c>
      <c r="Q46" s="114">
        <f>sumifs(Boss!$D:$D,Boss!$B:$B,$D46,Boss!$A:$A,"&gt;="&amp;Q$27,Boss!$A:$A,"&lt;="&amp;Q$28)+sumifs(VPA.Director!$D:$D,VPA.Director!$B:$B,$D46,VPA.Director!$A:$A,"&gt;="&amp;Q$27,VPA.Director!$A:$A,"&lt;="&amp;Q$28)+sumifs(ADC.Director!$D:$D,ADC.Director!$B:$B,$D46,ADC.Director!$A:$A,"&gt;="&amp;Q$27,ADC.Director!$A:$A,"&lt;="&amp;Q$28)+sumifs('000'!$D:$D,'000'!$B:$B,$D46,'000'!$A:$A,"&gt;="&amp;Q$27,'000'!$A:$A,"&lt;="&amp;Q$28)+sumifs('500'!$D:$D,'500'!$B:$B,$D46,'500'!$A:$A,"&gt;="&amp;Q$27,'500'!$A:$A,"&lt;="&amp;Q$28)+sumifs('300'!$D:$D,'300'!$B:$B,$D46,'300'!$A:$A,"&gt;="&amp;Q$27,'300'!$A:$A,"&lt;="&amp;Q$28)+sumifs('600.VPA'!$D:$D,'600.VPA'!$B:$B,$D46,'600.VPA'!$A:$A,"&gt;="&amp;Q$27,'600.VPA'!$A:$A,"&lt;="&amp;Q$28)</f>
        <v>0</v>
      </c>
      <c r="R46" s="114">
        <f>sumifs(Boss!$D:$D,Boss!$B:$B,$D46,Boss!$A:$A,"&gt;="&amp;R$27,Boss!$A:$A,"&lt;="&amp;R$28)+sumifs(VPA.Director!$D:$D,VPA.Director!$B:$B,$D46,VPA.Director!$A:$A,"&gt;="&amp;R$27,VPA.Director!$A:$A,"&lt;="&amp;R$28)+sumifs(ADC.Director!$D:$D,ADC.Director!$B:$B,$D46,ADC.Director!$A:$A,"&gt;="&amp;R$27,ADC.Director!$A:$A,"&lt;="&amp;R$28)+sumifs('000'!$D:$D,'000'!$B:$B,$D46,'000'!$A:$A,"&gt;="&amp;R$27,'000'!$A:$A,"&lt;="&amp;R$28)+sumifs('500'!$D:$D,'500'!$B:$B,$D46,'500'!$A:$A,"&gt;="&amp;R$27,'500'!$A:$A,"&lt;="&amp;R$28)+sumifs('300'!$D:$D,'300'!$B:$B,$D46,'300'!$A:$A,"&gt;="&amp;R$27,'300'!$A:$A,"&lt;="&amp;R$28)+sumifs('600.VPA'!$D:$D,'600.VPA'!$B:$B,$D46,'600.VPA'!$A:$A,"&gt;="&amp;R$27,'600.VPA'!$A:$A,"&lt;="&amp;R$28)</f>
        <v>0</v>
      </c>
      <c r="S46" s="114">
        <f>sumifs(Boss!$D:$D,Boss!$B:$B,$D46,Boss!$A:$A,"&gt;="&amp;S$27,Boss!$A:$A,"&lt;="&amp;S$28)+sumifs(VPA.Director!$D:$D,VPA.Director!$B:$B,$D46,VPA.Director!$A:$A,"&gt;="&amp;S$27,VPA.Director!$A:$A,"&lt;="&amp;S$28)+sumifs(ADC.Director!$D:$D,ADC.Director!$B:$B,$D46,ADC.Director!$A:$A,"&gt;="&amp;S$27,ADC.Director!$A:$A,"&lt;="&amp;S$28)+sumifs('000'!$D:$D,'000'!$B:$B,$D46,'000'!$A:$A,"&gt;="&amp;S$27,'000'!$A:$A,"&lt;="&amp;S$28)+sumifs('500'!$D:$D,'500'!$B:$B,$D46,'500'!$A:$A,"&gt;="&amp;S$27,'500'!$A:$A,"&lt;="&amp;S$28)+sumifs('300'!$D:$D,'300'!$B:$B,$D46,'300'!$A:$A,"&gt;="&amp;S$27,'300'!$A:$A,"&lt;="&amp;S$28)+sumifs('600.VPA'!$D:$D,'600.VPA'!$B:$B,$D46,'600.VPA'!$A:$A,"&gt;="&amp;S$27,'600.VPA'!$A:$A,"&lt;="&amp;S$28)</f>
        <v>0</v>
      </c>
      <c r="T46" s="114">
        <f>sumifs(Boss!$D:$D,Boss!$B:$B,$D46,Boss!$A:$A,"&gt;="&amp;T$27,Boss!$A:$A,"&lt;="&amp;T$28)+sumifs(VPA.Director!$D:$D,VPA.Director!$B:$B,$D46,VPA.Director!$A:$A,"&gt;="&amp;T$27,VPA.Director!$A:$A,"&lt;="&amp;T$28)+sumifs(ADC.Director!$D:$D,ADC.Director!$B:$B,$D46,ADC.Director!$A:$A,"&gt;="&amp;T$27,ADC.Director!$A:$A,"&lt;="&amp;T$28)+sumifs('000'!$D:$D,'000'!$B:$B,$D46,'000'!$A:$A,"&gt;="&amp;T$27,'000'!$A:$A,"&lt;="&amp;T$28)+sumifs('500'!$D:$D,'500'!$B:$B,$D46,'500'!$A:$A,"&gt;="&amp;T$27,'500'!$A:$A,"&lt;="&amp;T$28)+sumifs('300'!$D:$D,'300'!$B:$B,$D46,'300'!$A:$A,"&gt;="&amp;T$27,'300'!$A:$A,"&lt;="&amp;T$28)+sumifs('600.VPA'!$D:$D,'600.VPA'!$B:$B,$D46,'600.VPA'!$A:$A,"&gt;="&amp;T$27,'600.VPA'!$A:$A,"&lt;="&amp;T$28)</f>
        <v>0</v>
      </c>
      <c r="U46" s="86"/>
      <c r="V46" s="115">
        <f t="shared" si="1"/>
        <v>0</v>
      </c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7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</row>
    <row r="47" hidden="1">
      <c r="A47" s="86"/>
      <c r="B47" s="100"/>
      <c r="D47" s="90" t="s">
        <v>102</v>
      </c>
      <c r="E47" s="113" t="s">
        <v>20</v>
      </c>
      <c r="F47" s="90" t="s">
        <v>103</v>
      </c>
      <c r="G47" s="90" t="s">
        <v>104</v>
      </c>
      <c r="H47" s="90" t="s">
        <v>97</v>
      </c>
      <c r="I47" s="114">
        <f>sumifs(Boss!$D:$D,Boss!$B:$B,$D47,Boss!$A:$A,"&gt;="&amp;I$27,Boss!$A:$A,"&lt;="&amp;I$28)+sumifs(VPA.Director!$D:$D,VPA.Director!$B:$B,$D47,VPA.Director!$A:$A,"&gt;="&amp;I$27,VPA.Director!$A:$A,"&lt;="&amp;I$28)+sumifs(ADC.Director!$D:$D,ADC.Director!$B:$B,$D47,ADC.Director!$A:$A,"&gt;="&amp;I$27,ADC.Director!$A:$A,"&lt;="&amp;I$28)+sumifs('000'!$D:$D,'000'!$B:$B,$D47,'000'!$A:$A,"&gt;="&amp;I$27,'000'!$A:$A,"&lt;="&amp;I$28)+sumifs('500'!$D:$D,'500'!$B:$B,$D47,'500'!$A:$A,"&gt;="&amp;I$27,'500'!$A:$A,"&lt;="&amp;I$28)+sumifs('300'!$D:$D,'300'!$B:$B,$D47,'300'!$A:$A,"&gt;="&amp;I$27,'300'!$A:$A,"&lt;="&amp;I$28)+sumifs('600.VPA'!$D:$D,'600.VPA'!$B:$B,$D47,'600.VPA'!$A:$A,"&gt;="&amp;I$27,'600.VPA'!$A:$A,"&lt;="&amp;I$28)</f>
        <v>0</v>
      </c>
      <c r="J47" s="114">
        <f>sumifs(Boss!$D:$D,Boss!$B:$B,$D47,Boss!$A:$A,"&gt;="&amp;J$27,Boss!$A:$A,"&lt;="&amp;J$28)+sumifs(VPA.Director!$D:$D,VPA.Director!$B:$B,$D47,VPA.Director!$A:$A,"&gt;="&amp;J$27,VPA.Director!$A:$A,"&lt;="&amp;J$28)+sumifs(ADC.Director!$D:$D,ADC.Director!$B:$B,$D47,ADC.Director!$A:$A,"&gt;="&amp;J$27,ADC.Director!$A:$A,"&lt;="&amp;J$28)+sumifs('000'!$D:$D,'000'!$B:$B,$D47,'000'!$A:$A,"&gt;="&amp;J$27,'000'!$A:$A,"&lt;="&amp;J$28)+sumifs('500'!$D:$D,'500'!$B:$B,$D47,'500'!$A:$A,"&gt;="&amp;J$27,'500'!$A:$A,"&lt;="&amp;J$28)+sumifs('300'!$D:$D,'300'!$B:$B,$D47,'300'!$A:$A,"&gt;="&amp;J$27,'300'!$A:$A,"&lt;="&amp;J$28)+sumifs('600.VPA'!$D:$D,'600.VPA'!$B:$B,$D47,'600.VPA'!$A:$A,"&gt;="&amp;J$27,'600.VPA'!$A:$A,"&lt;="&amp;J$28)</f>
        <v>0</v>
      </c>
      <c r="K47" s="114">
        <f>sumifs(Boss!$D:$D,Boss!$B:$B,$D47,Boss!$A:$A,"&gt;="&amp;K$27,Boss!$A:$A,"&lt;="&amp;K$28)+sumifs(VPA.Director!$D:$D,VPA.Director!$B:$B,$D47,VPA.Director!$A:$A,"&gt;="&amp;K$27,VPA.Director!$A:$A,"&lt;="&amp;K$28)+sumifs(ADC.Director!$D:$D,ADC.Director!$B:$B,$D47,ADC.Director!$A:$A,"&gt;="&amp;K$27,ADC.Director!$A:$A,"&lt;="&amp;K$28)+sumifs('000'!$D:$D,'000'!$B:$B,$D47,'000'!$A:$A,"&gt;="&amp;K$27,'000'!$A:$A,"&lt;="&amp;K$28)+sumifs('500'!$D:$D,'500'!$B:$B,$D47,'500'!$A:$A,"&gt;="&amp;K$27,'500'!$A:$A,"&lt;="&amp;K$28)+sumifs('300'!$D:$D,'300'!$B:$B,$D47,'300'!$A:$A,"&gt;="&amp;K$27,'300'!$A:$A,"&lt;="&amp;K$28)+sumifs('600.VPA'!$D:$D,'600.VPA'!$B:$B,$D47,'600.VPA'!$A:$A,"&gt;="&amp;K$27,'600.VPA'!$A:$A,"&lt;="&amp;K$28)</f>
        <v>0</v>
      </c>
      <c r="L47" s="114">
        <f>sumifs(Boss!$D:$D,Boss!$B:$B,$D47,Boss!$A:$A,"&gt;="&amp;L$27,Boss!$A:$A,"&lt;="&amp;L$28)+sumifs(VPA.Director!$D:$D,VPA.Director!$B:$B,$D47,VPA.Director!$A:$A,"&gt;="&amp;L$27,VPA.Director!$A:$A,"&lt;="&amp;L$28)+sumifs(ADC.Director!$D:$D,ADC.Director!$B:$B,$D47,ADC.Director!$A:$A,"&gt;="&amp;L$27,ADC.Director!$A:$A,"&lt;="&amp;L$28)+sumifs('000'!$D:$D,'000'!$B:$B,$D47,'000'!$A:$A,"&gt;="&amp;L$27,'000'!$A:$A,"&lt;="&amp;L$28)+sumifs('500'!$D:$D,'500'!$B:$B,$D47,'500'!$A:$A,"&gt;="&amp;L$27,'500'!$A:$A,"&lt;="&amp;L$28)+sumifs('300'!$D:$D,'300'!$B:$B,$D47,'300'!$A:$A,"&gt;="&amp;L$27,'300'!$A:$A,"&lt;="&amp;L$28)+sumifs('600.VPA'!$D:$D,'600.VPA'!$B:$B,$D47,'600.VPA'!$A:$A,"&gt;="&amp;L$27,'600.VPA'!$A:$A,"&lt;="&amp;L$28)</f>
        <v>0</v>
      </c>
      <c r="M47" s="114">
        <f>sumifs(Boss!$D:$D,Boss!$B:$B,$D47,Boss!$A:$A,"&gt;="&amp;M$27,Boss!$A:$A,"&lt;="&amp;M$28)+sumifs(VPA.Director!$D:$D,VPA.Director!$B:$B,$D47,VPA.Director!$A:$A,"&gt;="&amp;M$27,VPA.Director!$A:$A,"&lt;="&amp;M$28)+sumifs(ADC.Director!$D:$D,ADC.Director!$B:$B,$D47,ADC.Director!$A:$A,"&gt;="&amp;M$27,ADC.Director!$A:$A,"&lt;="&amp;M$28)+sumifs('000'!$D:$D,'000'!$B:$B,$D47,'000'!$A:$A,"&gt;="&amp;M$27,'000'!$A:$A,"&lt;="&amp;M$28)+sumifs('500'!$D:$D,'500'!$B:$B,$D47,'500'!$A:$A,"&gt;="&amp;M$27,'500'!$A:$A,"&lt;="&amp;M$28)+sumifs('300'!$D:$D,'300'!$B:$B,$D47,'300'!$A:$A,"&gt;="&amp;M$27,'300'!$A:$A,"&lt;="&amp;M$28)+sumifs('600.VPA'!$D:$D,'600.VPA'!$B:$B,$D47,'600.VPA'!$A:$A,"&gt;="&amp;M$27,'600.VPA'!$A:$A,"&lt;="&amp;M$28)</f>
        <v>0</v>
      </c>
      <c r="N47" s="114">
        <f>sumifs(Boss!$D:$D,Boss!$B:$B,$D47,Boss!$A:$A,"&gt;="&amp;N$27,Boss!$A:$A,"&lt;="&amp;N$28)+sumifs(VPA.Director!$D:$D,VPA.Director!$B:$B,$D47,VPA.Director!$A:$A,"&gt;="&amp;N$27,VPA.Director!$A:$A,"&lt;="&amp;N$28)+sumifs(ADC.Director!$D:$D,ADC.Director!$B:$B,$D47,ADC.Director!$A:$A,"&gt;="&amp;N$27,ADC.Director!$A:$A,"&lt;="&amp;N$28)+sumifs('000'!$D:$D,'000'!$B:$B,$D47,'000'!$A:$A,"&gt;="&amp;N$27,'000'!$A:$A,"&lt;="&amp;N$28)+sumifs('500'!$D:$D,'500'!$B:$B,$D47,'500'!$A:$A,"&gt;="&amp;N$27,'500'!$A:$A,"&lt;="&amp;N$28)+sumifs('300'!$D:$D,'300'!$B:$B,$D47,'300'!$A:$A,"&gt;="&amp;N$27,'300'!$A:$A,"&lt;="&amp;N$28)+sumifs('600.VPA'!$D:$D,'600.VPA'!$B:$B,$D47,'600.VPA'!$A:$A,"&gt;="&amp;N$27,'600.VPA'!$A:$A,"&lt;="&amp;N$28)</f>
        <v>0</v>
      </c>
      <c r="O47" s="114">
        <f>sumifs(Boss!$D:$D,Boss!$B:$B,$D47,Boss!$A:$A,"&gt;="&amp;O$27,Boss!$A:$A,"&lt;="&amp;O$28)+sumifs(VPA.Director!$D:$D,VPA.Director!$B:$B,$D47,VPA.Director!$A:$A,"&gt;="&amp;O$27,VPA.Director!$A:$A,"&lt;="&amp;O$28)+sumifs(ADC.Director!$D:$D,ADC.Director!$B:$B,$D47,ADC.Director!$A:$A,"&gt;="&amp;O$27,ADC.Director!$A:$A,"&lt;="&amp;O$28)+sumifs('000'!$D:$D,'000'!$B:$B,$D47,'000'!$A:$A,"&gt;="&amp;O$27,'000'!$A:$A,"&lt;="&amp;O$28)+sumifs('500'!$D:$D,'500'!$B:$B,$D47,'500'!$A:$A,"&gt;="&amp;O$27,'500'!$A:$A,"&lt;="&amp;O$28)+sumifs('300'!$D:$D,'300'!$B:$B,$D47,'300'!$A:$A,"&gt;="&amp;O$27,'300'!$A:$A,"&lt;="&amp;O$28)+sumifs('600.VPA'!$D:$D,'600.VPA'!$B:$B,$D47,'600.VPA'!$A:$A,"&gt;="&amp;O$27,'600.VPA'!$A:$A,"&lt;="&amp;O$28)</f>
        <v>0</v>
      </c>
      <c r="P47" s="114">
        <f>sumifs(Boss!$D:$D,Boss!$B:$B,$D47,Boss!$A:$A,"&gt;="&amp;P$27,Boss!$A:$A,"&lt;="&amp;P$28)+sumifs(VPA.Director!$D:$D,VPA.Director!$B:$B,$D47,VPA.Director!$A:$A,"&gt;="&amp;P$27,VPA.Director!$A:$A,"&lt;="&amp;P$28)+sumifs(ADC.Director!$D:$D,ADC.Director!$B:$B,$D47,ADC.Director!$A:$A,"&gt;="&amp;P$27,ADC.Director!$A:$A,"&lt;="&amp;P$28)+sumifs('000'!$D:$D,'000'!$B:$B,$D47,'000'!$A:$A,"&gt;="&amp;P$27,'000'!$A:$A,"&lt;="&amp;P$28)+sumifs('500'!$D:$D,'500'!$B:$B,$D47,'500'!$A:$A,"&gt;="&amp;P$27,'500'!$A:$A,"&lt;="&amp;P$28)+sumifs('300'!$D:$D,'300'!$B:$B,$D47,'300'!$A:$A,"&gt;="&amp;P$27,'300'!$A:$A,"&lt;="&amp;P$28)+sumifs('600.VPA'!$D:$D,'600.VPA'!$B:$B,$D47,'600.VPA'!$A:$A,"&gt;="&amp;P$27,'600.VPA'!$A:$A,"&lt;="&amp;P$28)</f>
        <v>0</v>
      </c>
      <c r="Q47" s="114">
        <f>sumifs(Boss!$D:$D,Boss!$B:$B,$D47,Boss!$A:$A,"&gt;="&amp;Q$27,Boss!$A:$A,"&lt;="&amp;Q$28)+sumifs(VPA.Director!$D:$D,VPA.Director!$B:$B,$D47,VPA.Director!$A:$A,"&gt;="&amp;Q$27,VPA.Director!$A:$A,"&lt;="&amp;Q$28)+sumifs(ADC.Director!$D:$D,ADC.Director!$B:$B,$D47,ADC.Director!$A:$A,"&gt;="&amp;Q$27,ADC.Director!$A:$A,"&lt;="&amp;Q$28)+sumifs('000'!$D:$D,'000'!$B:$B,$D47,'000'!$A:$A,"&gt;="&amp;Q$27,'000'!$A:$A,"&lt;="&amp;Q$28)+sumifs('500'!$D:$D,'500'!$B:$B,$D47,'500'!$A:$A,"&gt;="&amp;Q$27,'500'!$A:$A,"&lt;="&amp;Q$28)+sumifs('300'!$D:$D,'300'!$B:$B,$D47,'300'!$A:$A,"&gt;="&amp;Q$27,'300'!$A:$A,"&lt;="&amp;Q$28)+sumifs('600.VPA'!$D:$D,'600.VPA'!$B:$B,$D47,'600.VPA'!$A:$A,"&gt;="&amp;Q$27,'600.VPA'!$A:$A,"&lt;="&amp;Q$28)</f>
        <v>0</v>
      </c>
      <c r="R47" s="114">
        <f>sumifs(Boss!$D:$D,Boss!$B:$B,$D47,Boss!$A:$A,"&gt;="&amp;R$27,Boss!$A:$A,"&lt;="&amp;R$28)+sumifs(VPA.Director!$D:$D,VPA.Director!$B:$B,$D47,VPA.Director!$A:$A,"&gt;="&amp;R$27,VPA.Director!$A:$A,"&lt;="&amp;R$28)+sumifs(ADC.Director!$D:$D,ADC.Director!$B:$B,$D47,ADC.Director!$A:$A,"&gt;="&amp;R$27,ADC.Director!$A:$A,"&lt;="&amp;R$28)+sumifs('000'!$D:$D,'000'!$B:$B,$D47,'000'!$A:$A,"&gt;="&amp;R$27,'000'!$A:$A,"&lt;="&amp;R$28)+sumifs('500'!$D:$D,'500'!$B:$B,$D47,'500'!$A:$A,"&gt;="&amp;R$27,'500'!$A:$A,"&lt;="&amp;R$28)+sumifs('300'!$D:$D,'300'!$B:$B,$D47,'300'!$A:$A,"&gt;="&amp;R$27,'300'!$A:$A,"&lt;="&amp;R$28)+sumifs('600.VPA'!$D:$D,'600.VPA'!$B:$B,$D47,'600.VPA'!$A:$A,"&gt;="&amp;R$27,'600.VPA'!$A:$A,"&lt;="&amp;R$28)</f>
        <v>0</v>
      </c>
      <c r="S47" s="114">
        <f>sumifs(Boss!$D:$D,Boss!$B:$B,$D47,Boss!$A:$A,"&gt;="&amp;S$27,Boss!$A:$A,"&lt;="&amp;S$28)+sumifs(VPA.Director!$D:$D,VPA.Director!$B:$B,$D47,VPA.Director!$A:$A,"&gt;="&amp;S$27,VPA.Director!$A:$A,"&lt;="&amp;S$28)+sumifs(ADC.Director!$D:$D,ADC.Director!$B:$B,$D47,ADC.Director!$A:$A,"&gt;="&amp;S$27,ADC.Director!$A:$A,"&lt;="&amp;S$28)+sumifs('000'!$D:$D,'000'!$B:$B,$D47,'000'!$A:$A,"&gt;="&amp;S$27,'000'!$A:$A,"&lt;="&amp;S$28)+sumifs('500'!$D:$D,'500'!$B:$B,$D47,'500'!$A:$A,"&gt;="&amp;S$27,'500'!$A:$A,"&lt;="&amp;S$28)+sumifs('300'!$D:$D,'300'!$B:$B,$D47,'300'!$A:$A,"&gt;="&amp;S$27,'300'!$A:$A,"&lt;="&amp;S$28)+sumifs('600.VPA'!$D:$D,'600.VPA'!$B:$B,$D47,'600.VPA'!$A:$A,"&gt;="&amp;S$27,'600.VPA'!$A:$A,"&lt;="&amp;S$28)</f>
        <v>0</v>
      </c>
      <c r="T47" s="114">
        <f>sumifs(Boss!$D:$D,Boss!$B:$B,$D47,Boss!$A:$A,"&gt;="&amp;T$27,Boss!$A:$A,"&lt;="&amp;T$28)+sumifs(VPA.Director!$D:$D,VPA.Director!$B:$B,$D47,VPA.Director!$A:$A,"&gt;="&amp;T$27,VPA.Director!$A:$A,"&lt;="&amp;T$28)+sumifs(ADC.Director!$D:$D,ADC.Director!$B:$B,$D47,ADC.Director!$A:$A,"&gt;="&amp;T$27,ADC.Director!$A:$A,"&lt;="&amp;T$28)+sumifs('000'!$D:$D,'000'!$B:$B,$D47,'000'!$A:$A,"&gt;="&amp;T$27,'000'!$A:$A,"&lt;="&amp;T$28)+sumifs('500'!$D:$D,'500'!$B:$B,$D47,'500'!$A:$A,"&gt;="&amp;T$27,'500'!$A:$A,"&lt;="&amp;T$28)+sumifs('300'!$D:$D,'300'!$B:$B,$D47,'300'!$A:$A,"&gt;="&amp;T$27,'300'!$A:$A,"&lt;="&amp;T$28)+sumifs('600.VPA'!$D:$D,'600.VPA'!$B:$B,$D47,'600.VPA'!$A:$A,"&gt;="&amp;T$27,'600.VPA'!$A:$A,"&lt;="&amp;T$28)</f>
        <v>0</v>
      </c>
      <c r="U47" s="86"/>
      <c r="V47" s="115">
        <f t="shared" si="1"/>
        <v>0</v>
      </c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7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</row>
    <row r="48" hidden="1">
      <c r="A48" s="86"/>
      <c r="B48" s="100"/>
      <c r="D48" s="90" t="s">
        <v>105</v>
      </c>
      <c r="E48" s="113" t="s">
        <v>21</v>
      </c>
      <c r="F48" s="90" t="s">
        <v>106</v>
      </c>
      <c r="G48" s="90" t="s">
        <v>107</v>
      </c>
      <c r="H48" s="90" t="s">
        <v>108</v>
      </c>
      <c r="I48" s="114">
        <f>sumifs(Boss!$D:$D,Boss!$B:$B,$D48,Boss!$A:$A,"&gt;="&amp;I$27,Boss!$A:$A,"&lt;="&amp;I$28)+sumifs(VPA.Director!$D:$D,VPA.Director!$B:$B,$D48,VPA.Director!$A:$A,"&gt;="&amp;I$27,VPA.Director!$A:$A,"&lt;="&amp;I$28)+sumifs(ADC.Director!$D:$D,ADC.Director!$B:$B,$D48,ADC.Director!$A:$A,"&gt;="&amp;I$27,ADC.Director!$A:$A,"&lt;="&amp;I$28)+sumifs('000'!$D:$D,'000'!$B:$B,$D48,'000'!$A:$A,"&gt;="&amp;I$27,'000'!$A:$A,"&lt;="&amp;I$28)+sumifs('500'!$D:$D,'500'!$B:$B,$D48,'500'!$A:$A,"&gt;="&amp;I$27,'500'!$A:$A,"&lt;="&amp;I$28)+sumifs('300'!$D:$D,'300'!$B:$B,$D48,'300'!$A:$A,"&gt;="&amp;I$27,'300'!$A:$A,"&lt;="&amp;I$28)+sumifs('600.VPA'!$D:$D,'600.VPA'!$B:$B,$D48,'600.VPA'!$A:$A,"&gt;="&amp;I$27,'600.VPA'!$A:$A,"&lt;="&amp;I$28)</f>
        <v>0</v>
      </c>
      <c r="J48" s="114">
        <f>sumifs(Boss!$D:$D,Boss!$B:$B,$D48,Boss!$A:$A,"&gt;="&amp;J$27,Boss!$A:$A,"&lt;="&amp;J$28)+sumifs(VPA.Director!$D:$D,VPA.Director!$B:$B,$D48,VPA.Director!$A:$A,"&gt;="&amp;J$27,VPA.Director!$A:$A,"&lt;="&amp;J$28)+sumifs(ADC.Director!$D:$D,ADC.Director!$B:$B,$D48,ADC.Director!$A:$A,"&gt;="&amp;J$27,ADC.Director!$A:$A,"&lt;="&amp;J$28)+sumifs('000'!$D:$D,'000'!$B:$B,$D48,'000'!$A:$A,"&gt;="&amp;J$27,'000'!$A:$A,"&lt;="&amp;J$28)+sumifs('500'!$D:$D,'500'!$B:$B,$D48,'500'!$A:$A,"&gt;="&amp;J$27,'500'!$A:$A,"&lt;="&amp;J$28)+sumifs('300'!$D:$D,'300'!$B:$B,$D48,'300'!$A:$A,"&gt;="&amp;J$27,'300'!$A:$A,"&lt;="&amp;J$28)+sumifs('600.VPA'!$D:$D,'600.VPA'!$B:$B,$D48,'600.VPA'!$A:$A,"&gt;="&amp;J$27,'600.VPA'!$A:$A,"&lt;="&amp;J$28)</f>
        <v>0</v>
      </c>
      <c r="K48" s="114">
        <f>sumifs(Boss!$D:$D,Boss!$B:$B,$D48,Boss!$A:$A,"&gt;="&amp;K$27,Boss!$A:$A,"&lt;="&amp;K$28)+sumifs(VPA.Director!$D:$D,VPA.Director!$B:$B,$D48,VPA.Director!$A:$A,"&gt;="&amp;K$27,VPA.Director!$A:$A,"&lt;="&amp;K$28)+sumifs(ADC.Director!$D:$D,ADC.Director!$B:$B,$D48,ADC.Director!$A:$A,"&gt;="&amp;K$27,ADC.Director!$A:$A,"&lt;="&amp;K$28)+sumifs('000'!$D:$D,'000'!$B:$B,$D48,'000'!$A:$A,"&gt;="&amp;K$27,'000'!$A:$A,"&lt;="&amp;K$28)+sumifs('500'!$D:$D,'500'!$B:$B,$D48,'500'!$A:$A,"&gt;="&amp;K$27,'500'!$A:$A,"&lt;="&amp;K$28)+sumifs('300'!$D:$D,'300'!$B:$B,$D48,'300'!$A:$A,"&gt;="&amp;K$27,'300'!$A:$A,"&lt;="&amp;K$28)+sumifs('600.VPA'!$D:$D,'600.VPA'!$B:$B,$D48,'600.VPA'!$A:$A,"&gt;="&amp;K$27,'600.VPA'!$A:$A,"&lt;="&amp;K$28)</f>
        <v>0</v>
      </c>
      <c r="L48" s="114">
        <f>sumifs(Boss!$D:$D,Boss!$B:$B,$D48,Boss!$A:$A,"&gt;="&amp;L$27,Boss!$A:$A,"&lt;="&amp;L$28)+sumifs(VPA.Director!$D:$D,VPA.Director!$B:$B,$D48,VPA.Director!$A:$A,"&gt;="&amp;L$27,VPA.Director!$A:$A,"&lt;="&amp;L$28)+sumifs(ADC.Director!$D:$D,ADC.Director!$B:$B,$D48,ADC.Director!$A:$A,"&gt;="&amp;L$27,ADC.Director!$A:$A,"&lt;="&amp;L$28)+sumifs('000'!$D:$D,'000'!$B:$B,$D48,'000'!$A:$A,"&gt;="&amp;L$27,'000'!$A:$A,"&lt;="&amp;L$28)+sumifs('500'!$D:$D,'500'!$B:$B,$D48,'500'!$A:$A,"&gt;="&amp;L$27,'500'!$A:$A,"&lt;="&amp;L$28)+sumifs('300'!$D:$D,'300'!$B:$B,$D48,'300'!$A:$A,"&gt;="&amp;L$27,'300'!$A:$A,"&lt;="&amp;L$28)+sumifs('600.VPA'!$D:$D,'600.VPA'!$B:$B,$D48,'600.VPA'!$A:$A,"&gt;="&amp;L$27,'600.VPA'!$A:$A,"&lt;="&amp;L$28)</f>
        <v>0</v>
      </c>
      <c r="M48" s="114">
        <f>sumifs(Boss!$D:$D,Boss!$B:$B,$D48,Boss!$A:$A,"&gt;="&amp;M$27,Boss!$A:$A,"&lt;="&amp;M$28)+sumifs(VPA.Director!$D:$D,VPA.Director!$B:$B,$D48,VPA.Director!$A:$A,"&gt;="&amp;M$27,VPA.Director!$A:$A,"&lt;="&amp;M$28)+sumifs(ADC.Director!$D:$D,ADC.Director!$B:$B,$D48,ADC.Director!$A:$A,"&gt;="&amp;M$27,ADC.Director!$A:$A,"&lt;="&amp;M$28)+sumifs('000'!$D:$D,'000'!$B:$B,$D48,'000'!$A:$A,"&gt;="&amp;M$27,'000'!$A:$A,"&lt;="&amp;M$28)+sumifs('500'!$D:$D,'500'!$B:$B,$D48,'500'!$A:$A,"&gt;="&amp;M$27,'500'!$A:$A,"&lt;="&amp;M$28)+sumifs('300'!$D:$D,'300'!$B:$B,$D48,'300'!$A:$A,"&gt;="&amp;M$27,'300'!$A:$A,"&lt;="&amp;M$28)+sumifs('600.VPA'!$D:$D,'600.VPA'!$B:$B,$D48,'600.VPA'!$A:$A,"&gt;="&amp;M$27,'600.VPA'!$A:$A,"&lt;="&amp;M$28)</f>
        <v>0</v>
      </c>
      <c r="N48" s="114">
        <f>sumifs(Boss!$D:$D,Boss!$B:$B,$D48,Boss!$A:$A,"&gt;="&amp;N$27,Boss!$A:$A,"&lt;="&amp;N$28)+sumifs(VPA.Director!$D:$D,VPA.Director!$B:$B,$D48,VPA.Director!$A:$A,"&gt;="&amp;N$27,VPA.Director!$A:$A,"&lt;="&amp;N$28)+sumifs(ADC.Director!$D:$D,ADC.Director!$B:$B,$D48,ADC.Director!$A:$A,"&gt;="&amp;N$27,ADC.Director!$A:$A,"&lt;="&amp;N$28)+sumifs('000'!$D:$D,'000'!$B:$B,$D48,'000'!$A:$A,"&gt;="&amp;N$27,'000'!$A:$A,"&lt;="&amp;N$28)+sumifs('500'!$D:$D,'500'!$B:$B,$D48,'500'!$A:$A,"&gt;="&amp;N$27,'500'!$A:$A,"&lt;="&amp;N$28)+sumifs('300'!$D:$D,'300'!$B:$B,$D48,'300'!$A:$A,"&gt;="&amp;N$27,'300'!$A:$A,"&lt;="&amp;N$28)+sumifs('600.VPA'!$D:$D,'600.VPA'!$B:$B,$D48,'600.VPA'!$A:$A,"&gt;="&amp;N$27,'600.VPA'!$A:$A,"&lt;="&amp;N$28)</f>
        <v>0</v>
      </c>
      <c r="O48" s="114">
        <f>sumifs(Boss!$D:$D,Boss!$B:$B,$D48,Boss!$A:$A,"&gt;="&amp;O$27,Boss!$A:$A,"&lt;="&amp;O$28)+sumifs(VPA.Director!$D:$D,VPA.Director!$B:$B,$D48,VPA.Director!$A:$A,"&gt;="&amp;O$27,VPA.Director!$A:$A,"&lt;="&amp;O$28)+sumifs(ADC.Director!$D:$D,ADC.Director!$B:$B,$D48,ADC.Director!$A:$A,"&gt;="&amp;O$27,ADC.Director!$A:$A,"&lt;="&amp;O$28)+sumifs('000'!$D:$D,'000'!$B:$B,$D48,'000'!$A:$A,"&gt;="&amp;O$27,'000'!$A:$A,"&lt;="&amp;O$28)+sumifs('500'!$D:$D,'500'!$B:$B,$D48,'500'!$A:$A,"&gt;="&amp;O$27,'500'!$A:$A,"&lt;="&amp;O$28)+sumifs('300'!$D:$D,'300'!$B:$B,$D48,'300'!$A:$A,"&gt;="&amp;O$27,'300'!$A:$A,"&lt;="&amp;O$28)+sumifs('600.VPA'!$D:$D,'600.VPA'!$B:$B,$D48,'600.VPA'!$A:$A,"&gt;="&amp;O$27,'600.VPA'!$A:$A,"&lt;="&amp;O$28)</f>
        <v>0</v>
      </c>
      <c r="P48" s="114">
        <f>sumifs(Boss!$D:$D,Boss!$B:$B,$D48,Boss!$A:$A,"&gt;="&amp;P$27,Boss!$A:$A,"&lt;="&amp;P$28)+sumifs(VPA.Director!$D:$D,VPA.Director!$B:$B,$D48,VPA.Director!$A:$A,"&gt;="&amp;P$27,VPA.Director!$A:$A,"&lt;="&amp;P$28)+sumifs(ADC.Director!$D:$D,ADC.Director!$B:$B,$D48,ADC.Director!$A:$A,"&gt;="&amp;P$27,ADC.Director!$A:$A,"&lt;="&amp;P$28)+sumifs('000'!$D:$D,'000'!$B:$B,$D48,'000'!$A:$A,"&gt;="&amp;P$27,'000'!$A:$A,"&lt;="&amp;P$28)+sumifs('500'!$D:$D,'500'!$B:$B,$D48,'500'!$A:$A,"&gt;="&amp;P$27,'500'!$A:$A,"&lt;="&amp;P$28)+sumifs('300'!$D:$D,'300'!$B:$B,$D48,'300'!$A:$A,"&gt;="&amp;P$27,'300'!$A:$A,"&lt;="&amp;P$28)+sumifs('600.VPA'!$D:$D,'600.VPA'!$B:$B,$D48,'600.VPA'!$A:$A,"&gt;="&amp;P$27,'600.VPA'!$A:$A,"&lt;="&amp;P$28)</f>
        <v>0</v>
      </c>
      <c r="Q48" s="114">
        <f>sumifs(Boss!$D:$D,Boss!$B:$B,$D48,Boss!$A:$A,"&gt;="&amp;Q$27,Boss!$A:$A,"&lt;="&amp;Q$28)+sumifs(VPA.Director!$D:$D,VPA.Director!$B:$B,$D48,VPA.Director!$A:$A,"&gt;="&amp;Q$27,VPA.Director!$A:$A,"&lt;="&amp;Q$28)+sumifs(ADC.Director!$D:$D,ADC.Director!$B:$B,$D48,ADC.Director!$A:$A,"&gt;="&amp;Q$27,ADC.Director!$A:$A,"&lt;="&amp;Q$28)+sumifs('000'!$D:$D,'000'!$B:$B,$D48,'000'!$A:$A,"&gt;="&amp;Q$27,'000'!$A:$A,"&lt;="&amp;Q$28)+sumifs('500'!$D:$D,'500'!$B:$B,$D48,'500'!$A:$A,"&gt;="&amp;Q$27,'500'!$A:$A,"&lt;="&amp;Q$28)+sumifs('300'!$D:$D,'300'!$B:$B,$D48,'300'!$A:$A,"&gt;="&amp;Q$27,'300'!$A:$A,"&lt;="&amp;Q$28)+sumifs('600.VPA'!$D:$D,'600.VPA'!$B:$B,$D48,'600.VPA'!$A:$A,"&gt;="&amp;Q$27,'600.VPA'!$A:$A,"&lt;="&amp;Q$28)</f>
        <v>0</v>
      </c>
      <c r="R48" s="114">
        <f>sumifs(Boss!$D:$D,Boss!$B:$B,$D48,Boss!$A:$A,"&gt;="&amp;R$27,Boss!$A:$A,"&lt;="&amp;R$28)+sumifs(VPA.Director!$D:$D,VPA.Director!$B:$B,$D48,VPA.Director!$A:$A,"&gt;="&amp;R$27,VPA.Director!$A:$A,"&lt;="&amp;R$28)+sumifs(ADC.Director!$D:$D,ADC.Director!$B:$B,$D48,ADC.Director!$A:$A,"&gt;="&amp;R$27,ADC.Director!$A:$A,"&lt;="&amp;R$28)+sumifs('000'!$D:$D,'000'!$B:$B,$D48,'000'!$A:$A,"&gt;="&amp;R$27,'000'!$A:$A,"&lt;="&amp;R$28)+sumifs('500'!$D:$D,'500'!$B:$B,$D48,'500'!$A:$A,"&gt;="&amp;R$27,'500'!$A:$A,"&lt;="&amp;R$28)+sumifs('300'!$D:$D,'300'!$B:$B,$D48,'300'!$A:$A,"&gt;="&amp;R$27,'300'!$A:$A,"&lt;="&amp;R$28)+sumifs('600.VPA'!$D:$D,'600.VPA'!$B:$B,$D48,'600.VPA'!$A:$A,"&gt;="&amp;R$27,'600.VPA'!$A:$A,"&lt;="&amp;R$28)</f>
        <v>0</v>
      </c>
      <c r="S48" s="114">
        <f>sumifs(Boss!$D:$D,Boss!$B:$B,$D48,Boss!$A:$A,"&gt;="&amp;S$27,Boss!$A:$A,"&lt;="&amp;S$28)+sumifs(VPA.Director!$D:$D,VPA.Director!$B:$B,$D48,VPA.Director!$A:$A,"&gt;="&amp;S$27,VPA.Director!$A:$A,"&lt;="&amp;S$28)+sumifs(ADC.Director!$D:$D,ADC.Director!$B:$B,$D48,ADC.Director!$A:$A,"&gt;="&amp;S$27,ADC.Director!$A:$A,"&lt;="&amp;S$28)+sumifs('000'!$D:$D,'000'!$B:$B,$D48,'000'!$A:$A,"&gt;="&amp;S$27,'000'!$A:$A,"&lt;="&amp;S$28)+sumifs('500'!$D:$D,'500'!$B:$B,$D48,'500'!$A:$A,"&gt;="&amp;S$27,'500'!$A:$A,"&lt;="&amp;S$28)+sumifs('300'!$D:$D,'300'!$B:$B,$D48,'300'!$A:$A,"&gt;="&amp;S$27,'300'!$A:$A,"&lt;="&amp;S$28)+sumifs('600.VPA'!$D:$D,'600.VPA'!$B:$B,$D48,'600.VPA'!$A:$A,"&gt;="&amp;S$27,'600.VPA'!$A:$A,"&lt;="&amp;S$28)</f>
        <v>0</v>
      </c>
      <c r="T48" s="114">
        <f>sumifs(Boss!$D:$D,Boss!$B:$B,$D48,Boss!$A:$A,"&gt;="&amp;T$27,Boss!$A:$A,"&lt;="&amp;T$28)+sumifs(VPA.Director!$D:$D,VPA.Director!$B:$B,$D48,VPA.Director!$A:$A,"&gt;="&amp;T$27,VPA.Director!$A:$A,"&lt;="&amp;T$28)+sumifs(ADC.Director!$D:$D,ADC.Director!$B:$B,$D48,ADC.Director!$A:$A,"&gt;="&amp;T$27,ADC.Director!$A:$A,"&lt;="&amp;T$28)+sumifs('000'!$D:$D,'000'!$B:$B,$D48,'000'!$A:$A,"&gt;="&amp;T$27,'000'!$A:$A,"&lt;="&amp;T$28)+sumifs('500'!$D:$D,'500'!$B:$B,$D48,'500'!$A:$A,"&gt;="&amp;T$27,'500'!$A:$A,"&lt;="&amp;T$28)+sumifs('300'!$D:$D,'300'!$B:$B,$D48,'300'!$A:$A,"&gt;="&amp;T$27,'300'!$A:$A,"&lt;="&amp;T$28)+sumifs('600.VPA'!$D:$D,'600.VPA'!$B:$B,$D48,'600.VPA'!$A:$A,"&gt;="&amp;T$27,'600.VPA'!$A:$A,"&lt;="&amp;T$28)</f>
        <v>0</v>
      </c>
      <c r="U48" s="86"/>
      <c r="V48" s="115">
        <f t="shared" si="1"/>
        <v>0</v>
      </c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7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</row>
    <row r="49" hidden="1">
      <c r="A49" s="86"/>
      <c r="B49" s="100"/>
      <c r="D49" s="90" t="s">
        <v>109</v>
      </c>
      <c r="E49" s="113" t="s">
        <v>22</v>
      </c>
      <c r="F49" s="90" t="s">
        <v>110</v>
      </c>
      <c r="G49" s="90" t="s">
        <v>111</v>
      </c>
      <c r="H49" s="90" t="s">
        <v>108</v>
      </c>
      <c r="I49" s="114">
        <f>sumifs(Boss!$D:$D,Boss!$B:$B,$D49,Boss!$A:$A,"&gt;="&amp;I$27,Boss!$A:$A,"&lt;="&amp;I$28)+sumifs(VPA.Director!$D:$D,VPA.Director!$B:$B,$D49,VPA.Director!$A:$A,"&gt;="&amp;I$27,VPA.Director!$A:$A,"&lt;="&amp;I$28)+sumifs(ADC.Director!$D:$D,ADC.Director!$B:$B,$D49,ADC.Director!$A:$A,"&gt;="&amp;I$27,ADC.Director!$A:$A,"&lt;="&amp;I$28)+sumifs('000'!$D:$D,'000'!$B:$B,$D49,'000'!$A:$A,"&gt;="&amp;I$27,'000'!$A:$A,"&lt;="&amp;I$28)+sumifs('500'!$D:$D,'500'!$B:$B,$D49,'500'!$A:$A,"&gt;="&amp;I$27,'500'!$A:$A,"&lt;="&amp;I$28)+sumifs('300'!$D:$D,'300'!$B:$B,$D49,'300'!$A:$A,"&gt;="&amp;I$27,'300'!$A:$A,"&lt;="&amp;I$28)+sumifs('600.VPA'!$D:$D,'600.VPA'!$B:$B,$D49,'600.VPA'!$A:$A,"&gt;="&amp;I$27,'600.VPA'!$A:$A,"&lt;="&amp;I$28)</f>
        <v>0</v>
      </c>
      <c r="J49" s="114">
        <f>sumifs(Boss!$D:$D,Boss!$B:$B,$D49,Boss!$A:$A,"&gt;="&amp;J$27,Boss!$A:$A,"&lt;="&amp;J$28)+sumifs(VPA.Director!$D:$D,VPA.Director!$B:$B,$D49,VPA.Director!$A:$A,"&gt;="&amp;J$27,VPA.Director!$A:$A,"&lt;="&amp;J$28)+sumifs(ADC.Director!$D:$D,ADC.Director!$B:$B,$D49,ADC.Director!$A:$A,"&gt;="&amp;J$27,ADC.Director!$A:$A,"&lt;="&amp;J$28)+sumifs('000'!$D:$D,'000'!$B:$B,$D49,'000'!$A:$A,"&gt;="&amp;J$27,'000'!$A:$A,"&lt;="&amp;J$28)+sumifs('500'!$D:$D,'500'!$B:$B,$D49,'500'!$A:$A,"&gt;="&amp;J$27,'500'!$A:$A,"&lt;="&amp;J$28)+sumifs('300'!$D:$D,'300'!$B:$B,$D49,'300'!$A:$A,"&gt;="&amp;J$27,'300'!$A:$A,"&lt;="&amp;J$28)+sumifs('600.VPA'!$D:$D,'600.VPA'!$B:$B,$D49,'600.VPA'!$A:$A,"&gt;="&amp;J$27,'600.VPA'!$A:$A,"&lt;="&amp;J$28)</f>
        <v>0</v>
      </c>
      <c r="K49" s="114">
        <f>sumifs(Boss!$D:$D,Boss!$B:$B,$D49,Boss!$A:$A,"&gt;="&amp;K$27,Boss!$A:$A,"&lt;="&amp;K$28)+sumifs(VPA.Director!$D:$D,VPA.Director!$B:$B,$D49,VPA.Director!$A:$A,"&gt;="&amp;K$27,VPA.Director!$A:$A,"&lt;="&amp;K$28)+sumifs(ADC.Director!$D:$D,ADC.Director!$B:$B,$D49,ADC.Director!$A:$A,"&gt;="&amp;K$27,ADC.Director!$A:$A,"&lt;="&amp;K$28)+sumifs('000'!$D:$D,'000'!$B:$B,$D49,'000'!$A:$A,"&gt;="&amp;K$27,'000'!$A:$A,"&lt;="&amp;K$28)+sumifs('500'!$D:$D,'500'!$B:$B,$D49,'500'!$A:$A,"&gt;="&amp;K$27,'500'!$A:$A,"&lt;="&amp;K$28)+sumifs('300'!$D:$D,'300'!$B:$B,$D49,'300'!$A:$A,"&gt;="&amp;K$27,'300'!$A:$A,"&lt;="&amp;K$28)+sumifs('600.VPA'!$D:$D,'600.VPA'!$B:$B,$D49,'600.VPA'!$A:$A,"&gt;="&amp;K$27,'600.VPA'!$A:$A,"&lt;="&amp;K$28)</f>
        <v>0</v>
      </c>
      <c r="L49" s="114">
        <f>sumifs(Boss!$D:$D,Boss!$B:$B,$D49,Boss!$A:$A,"&gt;="&amp;L$27,Boss!$A:$A,"&lt;="&amp;L$28)+sumifs(VPA.Director!$D:$D,VPA.Director!$B:$B,$D49,VPA.Director!$A:$A,"&gt;="&amp;L$27,VPA.Director!$A:$A,"&lt;="&amp;L$28)+sumifs(ADC.Director!$D:$D,ADC.Director!$B:$B,$D49,ADC.Director!$A:$A,"&gt;="&amp;L$27,ADC.Director!$A:$A,"&lt;="&amp;L$28)+sumifs('000'!$D:$D,'000'!$B:$B,$D49,'000'!$A:$A,"&gt;="&amp;L$27,'000'!$A:$A,"&lt;="&amp;L$28)+sumifs('500'!$D:$D,'500'!$B:$B,$D49,'500'!$A:$A,"&gt;="&amp;L$27,'500'!$A:$A,"&lt;="&amp;L$28)+sumifs('300'!$D:$D,'300'!$B:$B,$D49,'300'!$A:$A,"&gt;="&amp;L$27,'300'!$A:$A,"&lt;="&amp;L$28)+sumifs('600.VPA'!$D:$D,'600.VPA'!$B:$B,$D49,'600.VPA'!$A:$A,"&gt;="&amp;L$27,'600.VPA'!$A:$A,"&lt;="&amp;L$28)</f>
        <v>0</v>
      </c>
      <c r="M49" s="114">
        <f>sumifs(Boss!$D:$D,Boss!$B:$B,$D49,Boss!$A:$A,"&gt;="&amp;M$27,Boss!$A:$A,"&lt;="&amp;M$28)+sumifs(VPA.Director!$D:$D,VPA.Director!$B:$B,$D49,VPA.Director!$A:$A,"&gt;="&amp;M$27,VPA.Director!$A:$A,"&lt;="&amp;M$28)+sumifs(ADC.Director!$D:$D,ADC.Director!$B:$B,$D49,ADC.Director!$A:$A,"&gt;="&amp;M$27,ADC.Director!$A:$A,"&lt;="&amp;M$28)+sumifs('000'!$D:$D,'000'!$B:$B,$D49,'000'!$A:$A,"&gt;="&amp;M$27,'000'!$A:$A,"&lt;="&amp;M$28)+sumifs('500'!$D:$D,'500'!$B:$B,$D49,'500'!$A:$A,"&gt;="&amp;M$27,'500'!$A:$A,"&lt;="&amp;M$28)+sumifs('300'!$D:$D,'300'!$B:$B,$D49,'300'!$A:$A,"&gt;="&amp;M$27,'300'!$A:$A,"&lt;="&amp;M$28)+sumifs('600.VPA'!$D:$D,'600.VPA'!$B:$B,$D49,'600.VPA'!$A:$A,"&gt;="&amp;M$27,'600.VPA'!$A:$A,"&lt;="&amp;M$28)</f>
        <v>0</v>
      </c>
      <c r="N49" s="114">
        <f>sumifs(Boss!$D:$D,Boss!$B:$B,$D49,Boss!$A:$A,"&gt;="&amp;N$27,Boss!$A:$A,"&lt;="&amp;N$28)+sumifs(VPA.Director!$D:$D,VPA.Director!$B:$B,$D49,VPA.Director!$A:$A,"&gt;="&amp;N$27,VPA.Director!$A:$A,"&lt;="&amp;N$28)+sumifs(ADC.Director!$D:$D,ADC.Director!$B:$B,$D49,ADC.Director!$A:$A,"&gt;="&amp;N$27,ADC.Director!$A:$A,"&lt;="&amp;N$28)+sumifs('000'!$D:$D,'000'!$B:$B,$D49,'000'!$A:$A,"&gt;="&amp;N$27,'000'!$A:$A,"&lt;="&amp;N$28)+sumifs('500'!$D:$D,'500'!$B:$B,$D49,'500'!$A:$A,"&gt;="&amp;N$27,'500'!$A:$A,"&lt;="&amp;N$28)+sumifs('300'!$D:$D,'300'!$B:$B,$D49,'300'!$A:$A,"&gt;="&amp;N$27,'300'!$A:$A,"&lt;="&amp;N$28)+sumifs('600.VPA'!$D:$D,'600.VPA'!$B:$B,$D49,'600.VPA'!$A:$A,"&gt;="&amp;N$27,'600.VPA'!$A:$A,"&lt;="&amp;N$28)</f>
        <v>0</v>
      </c>
      <c r="O49" s="114">
        <f>sumifs(Boss!$D:$D,Boss!$B:$B,$D49,Boss!$A:$A,"&gt;="&amp;O$27,Boss!$A:$A,"&lt;="&amp;O$28)+sumifs(VPA.Director!$D:$D,VPA.Director!$B:$B,$D49,VPA.Director!$A:$A,"&gt;="&amp;O$27,VPA.Director!$A:$A,"&lt;="&amp;O$28)+sumifs(ADC.Director!$D:$D,ADC.Director!$B:$B,$D49,ADC.Director!$A:$A,"&gt;="&amp;O$27,ADC.Director!$A:$A,"&lt;="&amp;O$28)+sumifs('000'!$D:$D,'000'!$B:$B,$D49,'000'!$A:$A,"&gt;="&amp;O$27,'000'!$A:$A,"&lt;="&amp;O$28)+sumifs('500'!$D:$D,'500'!$B:$B,$D49,'500'!$A:$A,"&gt;="&amp;O$27,'500'!$A:$A,"&lt;="&amp;O$28)+sumifs('300'!$D:$D,'300'!$B:$B,$D49,'300'!$A:$A,"&gt;="&amp;O$27,'300'!$A:$A,"&lt;="&amp;O$28)+sumifs('600.VPA'!$D:$D,'600.VPA'!$B:$B,$D49,'600.VPA'!$A:$A,"&gt;="&amp;O$27,'600.VPA'!$A:$A,"&lt;="&amp;O$28)</f>
        <v>0</v>
      </c>
      <c r="P49" s="114">
        <f>sumifs(Boss!$D:$D,Boss!$B:$B,$D49,Boss!$A:$A,"&gt;="&amp;P$27,Boss!$A:$A,"&lt;="&amp;P$28)+sumifs(VPA.Director!$D:$D,VPA.Director!$B:$B,$D49,VPA.Director!$A:$A,"&gt;="&amp;P$27,VPA.Director!$A:$A,"&lt;="&amp;P$28)+sumifs(ADC.Director!$D:$D,ADC.Director!$B:$B,$D49,ADC.Director!$A:$A,"&gt;="&amp;P$27,ADC.Director!$A:$A,"&lt;="&amp;P$28)+sumifs('000'!$D:$D,'000'!$B:$B,$D49,'000'!$A:$A,"&gt;="&amp;P$27,'000'!$A:$A,"&lt;="&amp;P$28)+sumifs('500'!$D:$D,'500'!$B:$B,$D49,'500'!$A:$A,"&gt;="&amp;P$27,'500'!$A:$A,"&lt;="&amp;P$28)+sumifs('300'!$D:$D,'300'!$B:$B,$D49,'300'!$A:$A,"&gt;="&amp;P$27,'300'!$A:$A,"&lt;="&amp;P$28)+sumifs('600.VPA'!$D:$D,'600.VPA'!$B:$B,$D49,'600.VPA'!$A:$A,"&gt;="&amp;P$27,'600.VPA'!$A:$A,"&lt;="&amp;P$28)</f>
        <v>0</v>
      </c>
      <c r="Q49" s="114">
        <f>sumifs(Boss!$D:$D,Boss!$B:$B,$D49,Boss!$A:$A,"&gt;="&amp;Q$27,Boss!$A:$A,"&lt;="&amp;Q$28)+sumifs(VPA.Director!$D:$D,VPA.Director!$B:$B,$D49,VPA.Director!$A:$A,"&gt;="&amp;Q$27,VPA.Director!$A:$A,"&lt;="&amp;Q$28)+sumifs(ADC.Director!$D:$D,ADC.Director!$B:$B,$D49,ADC.Director!$A:$A,"&gt;="&amp;Q$27,ADC.Director!$A:$A,"&lt;="&amp;Q$28)+sumifs('000'!$D:$D,'000'!$B:$B,$D49,'000'!$A:$A,"&gt;="&amp;Q$27,'000'!$A:$A,"&lt;="&amp;Q$28)+sumifs('500'!$D:$D,'500'!$B:$B,$D49,'500'!$A:$A,"&gt;="&amp;Q$27,'500'!$A:$A,"&lt;="&amp;Q$28)+sumifs('300'!$D:$D,'300'!$B:$B,$D49,'300'!$A:$A,"&gt;="&amp;Q$27,'300'!$A:$A,"&lt;="&amp;Q$28)+sumifs('600.VPA'!$D:$D,'600.VPA'!$B:$B,$D49,'600.VPA'!$A:$A,"&gt;="&amp;Q$27,'600.VPA'!$A:$A,"&lt;="&amp;Q$28)</f>
        <v>0</v>
      </c>
      <c r="R49" s="114">
        <f>sumifs(Boss!$D:$D,Boss!$B:$B,$D49,Boss!$A:$A,"&gt;="&amp;R$27,Boss!$A:$A,"&lt;="&amp;R$28)+sumifs(VPA.Director!$D:$D,VPA.Director!$B:$B,$D49,VPA.Director!$A:$A,"&gt;="&amp;R$27,VPA.Director!$A:$A,"&lt;="&amp;R$28)+sumifs(ADC.Director!$D:$D,ADC.Director!$B:$B,$D49,ADC.Director!$A:$A,"&gt;="&amp;R$27,ADC.Director!$A:$A,"&lt;="&amp;R$28)+sumifs('000'!$D:$D,'000'!$B:$B,$D49,'000'!$A:$A,"&gt;="&amp;R$27,'000'!$A:$A,"&lt;="&amp;R$28)+sumifs('500'!$D:$D,'500'!$B:$B,$D49,'500'!$A:$A,"&gt;="&amp;R$27,'500'!$A:$A,"&lt;="&amp;R$28)+sumifs('300'!$D:$D,'300'!$B:$B,$D49,'300'!$A:$A,"&gt;="&amp;R$27,'300'!$A:$A,"&lt;="&amp;R$28)+sumifs('600.VPA'!$D:$D,'600.VPA'!$B:$B,$D49,'600.VPA'!$A:$A,"&gt;="&amp;R$27,'600.VPA'!$A:$A,"&lt;="&amp;R$28)</f>
        <v>0</v>
      </c>
      <c r="S49" s="114">
        <f>sumifs(Boss!$D:$D,Boss!$B:$B,$D49,Boss!$A:$A,"&gt;="&amp;S$27,Boss!$A:$A,"&lt;="&amp;S$28)+sumifs(VPA.Director!$D:$D,VPA.Director!$B:$B,$D49,VPA.Director!$A:$A,"&gt;="&amp;S$27,VPA.Director!$A:$A,"&lt;="&amp;S$28)+sumifs(ADC.Director!$D:$D,ADC.Director!$B:$B,$D49,ADC.Director!$A:$A,"&gt;="&amp;S$27,ADC.Director!$A:$A,"&lt;="&amp;S$28)+sumifs('000'!$D:$D,'000'!$B:$B,$D49,'000'!$A:$A,"&gt;="&amp;S$27,'000'!$A:$A,"&lt;="&amp;S$28)+sumifs('500'!$D:$D,'500'!$B:$B,$D49,'500'!$A:$A,"&gt;="&amp;S$27,'500'!$A:$A,"&lt;="&amp;S$28)+sumifs('300'!$D:$D,'300'!$B:$B,$D49,'300'!$A:$A,"&gt;="&amp;S$27,'300'!$A:$A,"&lt;="&amp;S$28)+sumifs('600.VPA'!$D:$D,'600.VPA'!$B:$B,$D49,'600.VPA'!$A:$A,"&gt;="&amp;S$27,'600.VPA'!$A:$A,"&lt;="&amp;S$28)</f>
        <v>0</v>
      </c>
      <c r="T49" s="114">
        <f>sumifs(Boss!$D:$D,Boss!$B:$B,$D49,Boss!$A:$A,"&gt;="&amp;T$27,Boss!$A:$A,"&lt;="&amp;T$28)+sumifs(VPA.Director!$D:$D,VPA.Director!$B:$B,$D49,VPA.Director!$A:$A,"&gt;="&amp;T$27,VPA.Director!$A:$A,"&lt;="&amp;T$28)+sumifs(ADC.Director!$D:$D,ADC.Director!$B:$B,$D49,ADC.Director!$A:$A,"&gt;="&amp;T$27,ADC.Director!$A:$A,"&lt;="&amp;T$28)+sumifs('000'!$D:$D,'000'!$B:$B,$D49,'000'!$A:$A,"&gt;="&amp;T$27,'000'!$A:$A,"&lt;="&amp;T$28)+sumifs('500'!$D:$D,'500'!$B:$B,$D49,'500'!$A:$A,"&gt;="&amp;T$27,'500'!$A:$A,"&lt;="&amp;T$28)+sumifs('300'!$D:$D,'300'!$B:$B,$D49,'300'!$A:$A,"&gt;="&amp;T$27,'300'!$A:$A,"&lt;="&amp;T$28)+sumifs('600.VPA'!$D:$D,'600.VPA'!$B:$B,$D49,'600.VPA'!$A:$A,"&gt;="&amp;T$27,'600.VPA'!$A:$A,"&lt;="&amp;T$28)</f>
        <v>0</v>
      </c>
      <c r="U49" s="86"/>
      <c r="V49" s="115">
        <f t="shared" si="1"/>
        <v>0</v>
      </c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7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</row>
    <row r="50" hidden="1">
      <c r="A50" s="86"/>
      <c r="B50" s="100"/>
      <c r="D50" s="90" t="s">
        <v>112</v>
      </c>
      <c r="E50" s="113" t="s">
        <v>23</v>
      </c>
      <c r="F50" s="90" t="s">
        <v>113</v>
      </c>
      <c r="G50" s="90" t="s">
        <v>114</v>
      </c>
      <c r="H50" s="90" t="s">
        <v>108</v>
      </c>
      <c r="I50" s="114">
        <f>sumifs(Boss!$D:$D,Boss!$B:$B,$D50,Boss!$A:$A,"&gt;="&amp;I$27,Boss!$A:$A,"&lt;="&amp;I$28)+sumifs(VPA.Director!$D:$D,VPA.Director!$B:$B,$D50,VPA.Director!$A:$A,"&gt;="&amp;I$27,VPA.Director!$A:$A,"&lt;="&amp;I$28)+sumifs(ADC.Director!$D:$D,ADC.Director!$B:$B,$D50,ADC.Director!$A:$A,"&gt;="&amp;I$27,ADC.Director!$A:$A,"&lt;="&amp;I$28)+sumifs('000'!$D:$D,'000'!$B:$B,$D50,'000'!$A:$A,"&gt;="&amp;I$27,'000'!$A:$A,"&lt;="&amp;I$28)+sumifs('500'!$D:$D,'500'!$B:$B,$D50,'500'!$A:$A,"&gt;="&amp;I$27,'500'!$A:$A,"&lt;="&amp;I$28)+sumifs('300'!$D:$D,'300'!$B:$B,$D50,'300'!$A:$A,"&gt;="&amp;I$27,'300'!$A:$A,"&lt;="&amp;I$28)+sumifs('600.VPA'!$D:$D,'600.VPA'!$B:$B,$D50,'600.VPA'!$A:$A,"&gt;="&amp;I$27,'600.VPA'!$A:$A,"&lt;="&amp;I$28)</f>
        <v>0</v>
      </c>
      <c r="J50" s="114">
        <f>sumifs(Boss!$D:$D,Boss!$B:$B,$D50,Boss!$A:$A,"&gt;="&amp;J$27,Boss!$A:$A,"&lt;="&amp;J$28)+sumifs(VPA.Director!$D:$D,VPA.Director!$B:$B,$D50,VPA.Director!$A:$A,"&gt;="&amp;J$27,VPA.Director!$A:$A,"&lt;="&amp;J$28)+sumifs(ADC.Director!$D:$D,ADC.Director!$B:$B,$D50,ADC.Director!$A:$A,"&gt;="&amp;J$27,ADC.Director!$A:$A,"&lt;="&amp;J$28)+sumifs('000'!$D:$D,'000'!$B:$B,$D50,'000'!$A:$A,"&gt;="&amp;J$27,'000'!$A:$A,"&lt;="&amp;J$28)+sumifs('500'!$D:$D,'500'!$B:$B,$D50,'500'!$A:$A,"&gt;="&amp;J$27,'500'!$A:$A,"&lt;="&amp;J$28)+sumifs('300'!$D:$D,'300'!$B:$B,$D50,'300'!$A:$A,"&gt;="&amp;J$27,'300'!$A:$A,"&lt;="&amp;J$28)+sumifs('600.VPA'!$D:$D,'600.VPA'!$B:$B,$D50,'600.VPA'!$A:$A,"&gt;="&amp;J$27,'600.VPA'!$A:$A,"&lt;="&amp;J$28)</f>
        <v>0</v>
      </c>
      <c r="K50" s="114">
        <f>sumifs(Boss!$D:$D,Boss!$B:$B,$D50,Boss!$A:$A,"&gt;="&amp;K$27,Boss!$A:$A,"&lt;="&amp;K$28)+sumifs(VPA.Director!$D:$D,VPA.Director!$B:$B,$D50,VPA.Director!$A:$A,"&gt;="&amp;K$27,VPA.Director!$A:$A,"&lt;="&amp;K$28)+sumifs(ADC.Director!$D:$D,ADC.Director!$B:$B,$D50,ADC.Director!$A:$A,"&gt;="&amp;K$27,ADC.Director!$A:$A,"&lt;="&amp;K$28)+sumifs('000'!$D:$D,'000'!$B:$B,$D50,'000'!$A:$A,"&gt;="&amp;K$27,'000'!$A:$A,"&lt;="&amp;K$28)+sumifs('500'!$D:$D,'500'!$B:$B,$D50,'500'!$A:$A,"&gt;="&amp;K$27,'500'!$A:$A,"&lt;="&amp;K$28)+sumifs('300'!$D:$D,'300'!$B:$B,$D50,'300'!$A:$A,"&gt;="&amp;K$27,'300'!$A:$A,"&lt;="&amp;K$28)+sumifs('600.VPA'!$D:$D,'600.VPA'!$B:$B,$D50,'600.VPA'!$A:$A,"&gt;="&amp;K$27,'600.VPA'!$A:$A,"&lt;="&amp;K$28)</f>
        <v>0</v>
      </c>
      <c r="L50" s="114">
        <f>sumifs(Boss!$D:$D,Boss!$B:$B,$D50,Boss!$A:$A,"&gt;="&amp;L$27,Boss!$A:$A,"&lt;="&amp;L$28)+sumifs(VPA.Director!$D:$D,VPA.Director!$B:$B,$D50,VPA.Director!$A:$A,"&gt;="&amp;L$27,VPA.Director!$A:$A,"&lt;="&amp;L$28)+sumifs(ADC.Director!$D:$D,ADC.Director!$B:$B,$D50,ADC.Director!$A:$A,"&gt;="&amp;L$27,ADC.Director!$A:$A,"&lt;="&amp;L$28)+sumifs('000'!$D:$D,'000'!$B:$B,$D50,'000'!$A:$A,"&gt;="&amp;L$27,'000'!$A:$A,"&lt;="&amp;L$28)+sumifs('500'!$D:$D,'500'!$B:$B,$D50,'500'!$A:$A,"&gt;="&amp;L$27,'500'!$A:$A,"&lt;="&amp;L$28)+sumifs('300'!$D:$D,'300'!$B:$B,$D50,'300'!$A:$A,"&gt;="&amp;L$27,'300'!$A:$A,"&lt;="&amp;L$28)+sumifs('600.VPA'!$D:$D,'600.VPA'!$B:$B,$D50,'600.VPA'!$A:$A,"&gt;="&amp;L$27,'600.VPA'!$A:$A,"&lt;="&amp;L$28)</f>
        <v>0</v>
      </c>
      <c r="M50" s="114">
        <f>sumifs(Boss!$D:$D,Boss!$B:$B,$D50,Boss!$A:$A,"&gt;="&amp;M$27,Boss!$A:$A,"&lt;="&amp;M$28)+sumifs(VPA.Director!$D:$D,VPA.Director!$B:$B,$D50,VPA.Director!$A:$A,"&gt;="&amp;M$27,VPA.Director!$A:$A,"&lt;="&amp;M$28)+sumifs(ADC.Director!$D:$D,ADC.Director!$B:$B,$D50,ADC.Director!$A:$A,"&gt;="&amp;M$27,ADC.Director!$A:$A,"&lt;="&amp;M$28)+sumifs('000'!$D:$D,'000'!$B:$B,$D50,'000'!$A:$A,"&gt;="&amp;M$27,'000'!$A:$A,"&lt;="&amp;M$28)+sumifs('500'!$D:$D,'500'!$B:$B,$D50,'500'!$A:$A,"&gt;="&amp;M$27,'500'!$A:$A,"&lt;="&amp;M$28)+sumifs('300'!$D:$D,'300'!$B:$B,$D50,'300'!$A:$A,"&gt;="&amp;M$27,'300'!$A:$A,"&lt;="&amp;M$28)+sumifs('600.VPA'!$D:$D,'600.VPA'!$B:$B,$D50,'600.VPA'!$A:$A,"&gt;="&amp;M$27,'600.VPA'!$A:$A,"&lt;="&amp;M$28)</f>
        <v>0</v>
      </c>
      <c r="N50" s="114">
        <f>sumifs(Boss!$D:$D,Boss!$B:$B,$D50,Boss!$A:$A,"&gt;="&amp;N$27,Boss!$A:$A,"&lt;="&amp;N$28)+sumifs(VPA.Director!$D:$D,VPA.Director!$B:$B,$D50,VPA.Director!$A:$A,"&gt;="&amp;N$27,VPA.Director!$A:$A,"&lt;="&amp;N$28)+sumifs(ADC.Director!$D:$D,ADC.Director!$B:$B,$D50,ADC.Director!$A:$A,"&gt;="&amp;N$27,ADC.Director!$A:$A,"&lt;="&amp;N$28)+sumifs('000'!$D:$D,'000'!$B:$B,$D50,'000'!$A:$A,"&gt;="&amp;N$27,'000'!$A:$A,"&lt;="&amp;N$28)+sumifs('500'!$D:$D,'500'!$B:$B,$D50,'500'!$A:$A,"&gt;="&amp;N$27,'500'!$A:$A,"&lt;="&amp;N$28)+sumifs('300'!$D:$D,'300'!$B:$B,$D50,'300'!$A:$A,"&gt;="&amp;N$27,'300'!$A:$A,"&lt;="&amp;N$28)+sumifs('600.VPA'!$D:$D,'600.VPA'!$B:$B,$D50,'600.VPA'!$A:$A,"&gt;="&amp;N$27,'600.VPA'!$A:$A,"&lt;="&amp;N$28)</f>
        <v>0</v>
      </c>
      <c r="O50" s="114">
        <f>sumifs(Boss!$D:$D,Boss!$B:$B,$D50,Boss!$A:$A,"&gt;="&amp;O$27,Boss!$A:$A,"&lt;="&amp;O$28)+sumifs(VPA.Director!$D:$D,VPA.Director!$B:$B,$D50,VPA.Director!$A:$A,"&gt;="&amp;O$27,VPA.Director!$A:$A,"&lt;="&amp;O$28)+sumifs(ADC.Director!$D:$D,ADC.Director!$B:$B,$D50,ADC.Director!$A:$A,"&gt;="&amp;O$27,ADC.Director!$A:$A,"&lt;="&amp;O$28)+sumifs('000'!$D:$D,'000'!$B:$B,$D50,'000'!$A:$A,"&gt;="&amp;O$27,'000'!$A:$A,"&lt;="&amp;O$28)+sumifs('500'!$D:$D,'500'!$B:$B,$D50,'500'!$A:$A,"&gt;="&amp;O$27,'500'!$A:$A,"&lt;="&amp;O$28)+sumifs('300'!$D:$D,'300'!$B:$B,$D50,'300'!$A:$A,"&gt;="&amp;O$27,'300'!$A:$A,"&lt;="&amp;O$28)+sumifs('600.VPA'!$D:$D,'600.VPA'!$B:$B,$D50,'600.VPA'!$A:$A,"&gt;="&amp;O$27,'600.VPA'!$A:$A,"&lt;="&amp;O$28)</f>
        <v>0</v>
      </c>
      <c r="P50" s="114">
        <f>sumifs(Boss!$D:$D,Boss!$B:$B,$D50,Boss!$A:$A,"&gt;="&amp;P$27,Boss!$A:$A,"&lt;="&amp;P$28)+sumifs(VPA.Director!$D:$D,VPA.Director!$B:$B,$D50,VPA.Director!$A:$A,"&gt;="&amp;P$27,VPA.Director!$A:$A,"&lt;="&amp;P$28)+sumifs(ADC.Director!$D:$D,ADC.Director!$B:$B,$D50,ADC.Director!$A:$A,"&gt;="&amp;P$27,ADC.Director!$A:$A,"&lt;="&amp;P$28)+sumifs('000'!$D:$D,'000'!$B:$B,$D50,'000'!$A:$A,"&gt;="&amp;P$27,'000'!$A:$A,"&lt;="&amp;P$28)+sumifs('500'!$D:$D,'500'!$B:$B,$D50,'500'!$A:$A,"&gt;="&amp;P$27,'500'!$A:$A,"&lt;="&amp;P$28)+sumifs('300'!$D:$D,'300'!$B:$B,$D50,'300'!$A:$A,"&gt;="&amp;P$27,'300'!$A:$A,"&lt;="&amp;P$28)+sumifs('600.VPA'!$D:$D,'600.VPA'!$B:$B,$D50,'600.VPA'!$A:$A,"&gt;="&amp;P$27,'600.VPA'!$A:$A,"&lt;="&amp;P$28)</f>
        <v>0</v>
      </c>
      <c r="Q50" s="114">
        <f>sumifs(Boss!$D:$D,Boss!$B:$B,$D50,Boss!$A:$A,"&gt;="&amp;Q$27,Boss!$A:$A,"&lt;="&amp;Q$28)+sumifs(VPA.Director!$D:$D,VPA.Director!$B:$B,$D50,VPA.Director!$A:$A,"&gt;="&amp;Q$27,VPA.Director!$A:$A,"&lt;="&amp;Q$28)+sumifs(ADC.Director!$D:$D,ADC.Director!$B:$B,$D50,ADC.Director!$A:$A,"&gt;="&amp;Q$27,ADC.Director!$A:$A,"&lt;="&amp;Q$28)+sumifs('000'!$D:$D,'000'!$B:$B,$D50,'000'!$A:$A,"&gt;="&amp;Q$27,'000'!$A:$A,"&lt;="&amp;Q$28)+sumifs('500'!$D:$D,'500'!$B:$B,$D50,'500'!$A:$A,"&gt;="&amp;Q$27,'500'!$A:$A,"&lt;="&amp;Q$28)+sumifs('300'!$D:$D,'300'!$B:$B,$D50,'300'!$A:$A,"&gt;="&amp;Q$27,'300'!$A:$A,"&lt;="&amp;Q$28)+sumifs('600.VPA'!$D:$D,'600.VPA'!$B:$B,$D50,'600.VPA'!$A:$A,"&gt;="&amp;Q$27,'600.VPA'!$A:$A,"&lt;="&amp;Q$28)</f>
        <v>0</v>
      </c>
      <c r="R50" s="114">
        <f>sumifs(Boss!$D:$D,Boss!$B:$B,$D50,Boss!$A:$A,"&gt;="&amp;R$27,Boss!$A:$A,"&lt;="&amp;R$28)+sumifs(VPA.Director!$D:$D,VPA.Director!$B:$B,$D50,VPA.Director!$A:$A,"&gt;="&amp;R$27,VPA.Director!$A:$A,"&lt;="&amp;R$28)+sumifs(ADC.Director!$D:$D,ADC.Director!$B:$B,$D50,ADC.Director!$A:$A,"&gt;="&amp;R$27,ADC.Director!$A:$A,"&lt;="&amp;R$28)+sumifs('000'!$D:$D,'000'!$B:$B,$D50,'000'!$A:$A,"&gt;="&amp;R$27,'000'!$A:$A,"&lt;="&amp;R$28)+sumifs('500'!$D:$D,'500'!$B:$B,$D50,'500'!$A:$A,"&gt;="&amp;R$27,'500'!$A:$A,"&lt;="&amp;R$28)+sumifs('300'!$D:$D,'300'!$B:$B,$D50,'300'!$A:$A,"&gt;="&amp;R$27,'300'!$A:$A,"&lt;="&amp;R$28)+sumifs('600.VPA'!$D:$D,'600.VPA'!$B:$B,$D50,'600.VPA'!$A:$A,"&gt;="&amp;R$27,'600.VPA'!$A:$A,"&lt;="&amp;R$28)</f>
        <v>0</v>
      </c>
      <c r="S50" s="114">
        <f>sumifs(Boss!$D:$D,Boss!$B:$B,$D50,Boss!$A:$A,"&gt;="&amp;S$27,Boss!$A:$A,"&lt;="&amp;S$28)+sumifs(VPA.Director!$D:$D,VPA.Director!$B:$B,$D50,VPA.Director!$A:$A,"&gt;="&amp;S$27,VPA.Director!$A:$A,"&lt;="&amp;S$28)+sumifs(ADC.Director!$D:$D,ADC.Director!$B:$B,$D50,ADC.Director!$A:$A,"&gt;="&amp;S$27,ADC.Director!$A:$A,"&lt;="&amp;S$28)+sumifs('000'!$D:$D,'000'!$B:$B,$D50,'000'!$A:$A,"&gt;="&amp;S$27,'000'!$A:$A,"&lt;="&amp;S$28)+sumifs('500'!$D:$D,'500'!$B:$B,$D50,'500'!$A:$A,"&gt;="&amp;S$27,'500'!$A:$A,"&lt;="&amp;S$28)+sumifs('300'!$D:$D,'300'!$B:$B,$D50,'300'!$A:$A,"&gt;="&amp;S$27,'300'!$A:$A,"&lt;="&amp;S$28)+sumifs('600.VPA'!$D:$D,'600.VPA'!$B:$B,$D50,'600.VPA'!$A:$A,"&gt;="&amp;S$27,'600.VPA'!$A:$A,"&lt;="&amp;S$28)</f>
        <v>0</v>
      </c>
      <c r="T50" s="114">
        <f>sumifs(Boss!$D:$D,Boss!$B:$B,$D50,Boss!$A:$A,"&gt;="&amp;T$27,Boss!$A:$A,"&lt;="&amp;T$28)+sumifs(VPA.Director!$D:$D,VPA.Director!$B:$B,$D50,VPA.Director!$A:$A,"&gt;="&amp;T$27,VPA.Director!$A:$A,"&lt;="&amp;T$28)+sumifs(ADC.Director!$D:$D,ADC.Director!$B:$B,$D50,ADC.Director!$A:$A,"&gt;="&amp;T$27,ADC.Director!$A:$A,"&lt;="&amp;T$28)+sumifs('000'!$D:$D,'000'!$B:$B,$D50,'000'!$A:$A,"&gt;="&amp;T$27,'000'!$A:$A,"&lt;="&amp;T$28)+sumifs('500'!$D:$D,'500'!$B:$B,$D50,'500'!$A:$A,"&gt;="&amp;T$27,'500'!$A:$A,"&lt;="&amp;T$28)+sumifs('300'!$D:$D,'300'!$B:$B,$D50,'300'!$A:$A,"&gt;="&amp;T$27,'300'!$A:$A,"&lt;="&amp;T$28)+sumifs('600.VPA'!$D:$D,'600.VPA'!$B:$B,$D50,'600.VPA'!$A:$A,"&gt;="&amp;T$27,'600.VPA'!$A:$A,"&lt;="&amp;T$28)</f>
        <v>0</v>
      </c>
      <c r="U50" s="86"/>
      <c r="V50" s="115">
        <f t="shared" si="1"/>
        <v>0</v>
      </c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7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</row>
    <row r="51" hidden="1">
      <c r="A51" s="86"/>
      <c r="B51" s="100"/>
      <c r="D51" s="90" t="s">
        <v>115</v>
      </c>
      <c r="E51" s="113" t="s">
        <v>24</v>
      </c>
      <c r="F51" s="90" t="s">
        <v>116</v>
      </c>
      <c r="G51" s="90" t="s">
        <v>117</v>
      </c>
      <c r="H51" s="90" t="s">
        <v>108</v>
      </c>
      <c r="I51" s="114">
        <f>sumifs(Boss!$D:$D,Boss!$B:$B,$D51,Boss!$A:$A,"&gt;="&amp;I$27,Boss!$A:$A,"&lt;="&amp;I$28)+sumifs(VPA.Director!$D:$D,VPA.Director!$B:$B,$D51,VPA.Director!$A:$A,"&gt;="&amp;I$27,VPA.Director!$A:$A,"&lt;="&amp;I$28)+sumifs(ADC.Director!$D:$D,ADC.Director!$B:$B,$D51,ADC.Director!$A:$A,"&gt;="&amp;I$27,ADC.Director!$A:$A,"&lt;="&amp;I$28)+sumifs('000'!$D:$D,'000'!$B:$B,$D51,'000'!$A:$A,"&gt;="&amp;I$27,'000'!$A:$A,"&lt;="&amp;I$28)+sumifs('500'!$D:$D,'500'!$B:$B,$D51,'500'!$A:$A,"&gt;="&amp;I$27,'500'!$A:$A,"&lt;="&amp;I$28)+sumifs('300'!$D:$D,'300'!$B:$B,$D51,'300'!$A:$A,"&gt;="&amp;I$27,'300'!$A:$A,"&lt;="&amp;I$28)+sumifs('600.VPA'!$D:$D,'600.VPA'!$B:$B,$D51,'600.VPA'!$A:$A,"&gt;="&amp;I$27,'600.VPA'!$A:$A,"&lt;="&amp;I$28)</f>
        <v>0</v>
      </c>
      <c r="J51" s="114">
        <f>sumifs(Boss!$D:$D,Boss!$B:$B,$D51,Boss!$A:$A,"&gt;="&amp;J$27,Boss!$A:$A,"&lt;="&amp;J$28)+sumifs(VPA.Director!$D:$D,VPA.Director!$B:$B,$D51,VPA.Director!$A:$A,"&gt;="&amp;J$27,VPA.Director!$A:$A,"&lt;="&amp;J$28)+sumifs(ADC.Director!$D:$D,ADC.Director!$B:$B,$D51,ADC.Director!$A:$A,"&gt;="&amp;J$27,ADC.Director!$A:$A,"&lt;="&amp;J$28)+sumifs('000'!$D:$D,'000'!$B:$B,$D51,'000'!$A:$A,"&gt;="&amp;J$27,'000'!$A:$A,"&lt;="&amp;J$28)+sumifs('500'!$D:$D,'500'!$B:$B,$D51,'500'!$A:$A,"&gt;="&amp;J$27,'500'!$A:$A,"&lt;="&amp;J$28)+sumifs('300'!$D:$D,'300'!$B:$B,$D51,'300'!$A:$A,"&gt;="&amp;J$27,'300'!$A:$A,"&lt;="&amp;J$28)+sumifs('600.VPA'!$D:$D,'600.VPA'!$B:$B,$D51,'600.VPA'!$A:$A,"&gt;="&amp;J$27,'600.VPA'!$A:$A,"&lt;="&amp;J$28)</f>
        <v>0</v>
      </c>
      <c r="K51" s="114">
        <f>sumifs(Boss!$D:$D,Boss!$B:$B,$D51,Boss!$A:$A,"&gt;="&amp;K$27,Boss!$A:$A,"&lt;="&amp;K$28)+sumifs(VPA.Director!$D:$D,VPA.Director!$B:$B,$D51,VPA.Director!$A:$A,"&gt;="&amp;K$27,VPA.Director!$A:$A,"&lt;="&amp;K$28)+sumifs(ADC.Director!$D:$D,ADC.Director!$B:$B,$D51,ADC.Director!$A:$A,"&gt;="&amp;K$27,ADC.Director!$A:$A,"&lt;="&amp;K$28)+sumifs('000'!$D:$D,'000'!$B:$B,$D51,'000'!$A:$A,"&gt;="&amp;K$27,'000'!$A:$A,"&lt;="&amp;K$28)+sumifs('500'!$D:$D,'500'!$B:$B,$D51,'500'!$A:$A,"&gt;="&amp;K$27,'500'!$A:$A,"&lt;="&amp;K$28)+sumifs('300'!$D:$D,'300'!$B:$B,$D51,'300'!$A:$A,"&gt;="&amp;K$27,'300'!$A:$A,"&lt;="&amp;K$28)+sumifs('600.VPA'!$D:$D,'600.VPA'!$B:$B,$D51,'600.VPA'!$A:$A,"&gt;="&amp;K$27,'600.VPA'!$A:$A,"&lt;="&amp;K$28)</f>
        <v>0</v>
      </c>
      <c r="L51" s="114">
        <f>sumifs(Boss!$D:$D,Boss!$B:$B,$D51,Boss!$A:$A,"&gt;="&amp;L$27,Boss!$A:$A,"&lt;="&amp;L$28)+sumifs(VPA.Director!$D:$D,VPA.Director!$B:$B,$D51,VPA.Director!$A:$A,"&gt;="&amp;L$27,VPA.Director!$A:$A,"&lt;="&amp;L$28)+sumifs(ADC.Director!$D:$D,ADC.Director!$B:$B,$D51,ADC.Director!$A:$A,"&gt;="&amp;L$27,ADC.Director!$A:$A,"&lt;="&amp;L$28)+sumifs('000'!$D:$D,'000'!$B:$B,$D51,'000'!$A:$A,"&gt;="&amp;L$27,'000'!$A:$A,"&lt;="&amp;L$28)+sumifs('500'!$D:$D,'500'!$B:$B,$D51,'500'!$A:$A,"&gt;="&amp;L$27,'500'!$A:$A,"&lt;="&amp;L$28)+sumifs('300'!$D:$D,'300'!$B:$B,$D51,'300'!$A:$A,"&gt;="&amp;L$27,'300'!$A:$A,"&lt;="&amp;L$28)+sumifs('600.VPA'!$D:$D,'600.VPA'!$B:$B,$D51,'600.VPA'!$A:$A,"&gt;="&amp;L$27,'600.VPA'!$A:$A,"&lt;="&amp;L$28)</f>
        <v>0</v>
      </c>
      <c r="M51" s="114">
        <f>sumifs(Boss!$D:$D,Boss!$B:$B,$D51,Boss!$A:$A,"&gt;="&amp;M$27,Boss!$A:$A,"&lt;="&amp;M$28)+sumifs(VPA.Director!$D:$D,VPA.Director!$B:$B,$D51,VPA.Director!$A:$A,"&gt;="&amp;M$27,VPA.Director!$A:$A,"&lt;="&amp;M$28)+sumifs(ADC.Director!$D:$D,ADC.Director!$B:$B,$D51,ADC.Director!$A:$A,"&gt;="&amp;M$27,ADC.Director!$A:$A,"&lt;="&amp;M$28)+sumifs('000'!$D:$D,'000'!$B:$B,$D51,'000'!$A:$A,"&gt;="&amp;M$27,'000'!$A:$A,"&lt;="&amp;M$28)+sumifs('500'!$D:$D,'500'!$B:$B,$D51,'500'!$A:$A,"&gt;="&amp;M$27,'500'!$A:$A,"&lt;="&amp;M$28)+sumifs('300'!$D:$D,'300'!$B:$B,$D51,'300'!$A:$A,"&gt;="&amp;M$27,'300'!$A:$A,"&lt;="&amp;M$28)+sumifs('600.VPA'!$D:$D,'600.VPA'!$B:$B,$D51,'600.VPA'!$A:$A,"&gt;="&amp;M$27,'600.VPA'!$A:$A,"&lt;="&amp;M$28)</f>
        <v>0</v>
      </c>
      <c r="N51" s="114">
        <f>sumifs(Boss!$D:$D,Boss!$B:$B,$D51,Boss!$A:$A,"&gt;="&amp;N$27,Boss!$A:$A,"&lt;="&amp;N$28)+sumifs(VPA.Director!$D:$D,VPA.Director!$B:$B,$D51,VPA.Director!$A:$A,"&gt;="&amp;N$27,VPA.Director!$A:$A,"&lt;="&amp;N$28)+sumifs(ADC.Director!$D:$D,ADC.Director!$B:$B,$D51,ADC.Director!$A:$A,"&gt;="&amp;N$27,ADC.Director!$A:$A,"&lt;="&amp;N$28)+sumifs('000'!$D:$D,'000'!$B:$B,$D51,'000'!$A:$A,"&gt;="&amp;N$27,'000'!$A:$A,"&lt;="&amp;N$28)+sumifs('500'!$D:$D,'500'!$B:$B,$D51,'500'!$A:$A,"&gt;="&amp;N$27,'500'!$A:$A,"&lt;="&amp;N$28)+sumifs('300'!$D:$D,'300'!$B:$B,$D51,'300'!$A:$A,"&gt;="&amp;N$27,'300'!$A:$A,"&lt;="&amp;N$28)+sumifs('600.VPA'!$D:$D,'600.VPA'!$B:$B,$D51,'600.VPA'!$A:$A,"&gt;="&amp;N$27,'600.VPA'!$A:$A,"&lt;="&amp;N$28)</f>
        <v>0</v>
      </c>
      <c r="O51" s="114">
        <f>sumifs(Boss!$D:$D,Boss!$B:$B,$D51,Boss!$A:$A,"&gt;="&amp;O$27,Boss!$A:$A,"&lt;="&amp;O$28)+sumifs(VPA.Director!$D:$D,VPA.Director!$B:$B,$D51,VPA.Director!$A:$A,"&gt;="&amp;O$27,VPA.Director!$A:$A,"&lt;="&amp;O$28)+sumifs(ADC.Director!$D:$D,ADC.Director!$B:$B,$D51,ADC.Director!$A:$A,"&gt;="&amp;O$27,ADC.Director!$A:$A,"&lt;="&amp;O$28)+sumifs('000'!$D:$D,'000'!$B:$B,$D51,'000'!$A:$A,"&gt;="&amp;O$27,'000'!$A:$A,"&lt;="&amp;O$28)+sumifs('500'!$D:$D,'500'!$B:$B,$D51,'500'!$A:$A,"&gt;="&amp;O$27,'500'!$A:$A,"&lt;="&amp;O$28)+sumifs('300'!$D:$D,'300'!$B:$B,$D51,'300'!$A:$A,"&gt;="&amp;O$27,'300'!$A:$A,"&lt;="&amp;O$28)+sumifs('600.VPA'!$D:$D,'600.VPA'!$B:$B,$D51,'600.VPA'!$A:$A,"&gt;="&amp;O$27,'600.VPA'!$A:$A,"&lt;="&amp;O$28)</f>
        <v>0</v>
      </c>
      <c r="P51" s="114">
        <f>sumifs(Boss!$D:$D,Boss!$B:$B,$D51,Boss!$A:$A,"&gt;="&amp;P$27,Boss!$A:$A,"&lt;="&amp;P$28)+sumifs(VPA.Director!$D:$D,VPA.Director!$B:$B,$D51,VPA.Director!$A:$A,"&gt;="&amp;P$27,VPA.Director!$A:$A,"&lt;="&amp;P$28)+sumifs(ADC.Director!$D:$D,ADC.Director!$B:$B,$D51,ADC.Director!$A:$A,"&gt;="&amp;P$27,ADC.Director!$A:$A,"&lt;="&amp;P$28)+sumifs('000'!$D:$D,'000'!$B:$B,$D51,'000'!$A:$A,"&gt;="&amp;P$27,'000'!$A:$A,"&lt;="&amp;P$28)+sumifs('500'!$D:$D,'500'!$B:$B,$D51,'500'!$A:$A,"&gt;="&amp;P$27,'500'!$A:$A,"&lt;="&amp;P$28)+sumifs('300'!$D:$D,'300'!$B:$B,$D51,'300'!$A:$A,"&gt;="&amp;P$27,'300'!$A:$A,"&lt;="&amp;P$28)+sumifs('600.VPA'!$D:$D,'600.VPA'!$B:$B,$D51,'600.VPA'!$A:$A,"&gt;="&amp;P$27,'600.VPA'!$A:$A,"&lt;="&amp;P$28)</f>
        <v>0</v>
      </c>
      <c r="Q51" s="114">
        <f>sumifs(Boss!$D:$D,Boss!$B:$B,$D51,Boss!$A:$A,"&gt;="&amp;Q$27,Boss!$A:$A,"&lt;="&amp;Q$28)+sumifs(VPA.Director!$D:$D,VPA.Director!$B:$B,$D51,VPA.Director!$A:$A,"&gt;="&amp;Q$27,VPA.Director!$A:$A,"&lt;="&amp;Q$28)+sumifs(ADC.Director!$D:$D,ADC.Director!$B:$B,$D51,ADC.Director!$A:$A,"&gt;="&amp;Q$27,ADC.Director!$A:$A,"&lt;="&amp;Q$28)+sumifs('000'!$D:$D,'000'!$B:$B,$D51,'000'!$A:$A,"&gt;="&amp;Q$27,'000'!$A:$A,"&lt;="&amp;Q$28)+sumifs('500'!$D:$D,'500'!$B:$B,$D51,'500'!$A:$A,"&gt;="&amp;Q$27,'500'!$A:$A,"&lt;="&amp;Q$28)+sumifs('300'!$D:$D,'300'!$B:$B,$D51,'300'!$A:$A,"&gt;="&amp;Q$27,'300'!$A:$A,"&lt;="&amp;Q$28)+sumifs('600.VPA'!$D:$D,'600.VPA'!$B:$B,$D51,'600.VPA'!$A:$A,"&gt;="&amp;Q$27,'600.VPA'!$A:$A,"&lt;="&amp;Q$28)</f>
        <v>0</v>
      </c>
      <c r="R51" s="114">
        <f>sumifs(Boss!$D:$D,Boss!$B:$B,$D51,Boss!$A:$A,"&gt;="&amp;R$27,Boss!$A:$A,"&lt;="&amp;R$28)+sumifs(VPA.Director!$D:$D,VPA.Director!$B:$B,$D51,VPA.Director!$A:$A,"&gt;="&amp;R$27,VPA.Director!$A:$A,"&lt;="&amp;R$28)+sumifs(ADC.Director!$D:$D,ADC.Director!$B:$B,$D51,ADC.Director!$A:$A,"&gt;="&amp;R$27,ADC.Director!$A:$A,"&lt;="&amp;R$28)+sumifs('000'!$D:$D,'000'!$B:$B,$D51,'000'!$A:$A,"&gt;="&amp;R$27,'000'!$A:$A,"&lt;="&amp;R$28)+sumifs('500'!$D:$D,'500'!$B:$B,$D51,'500'!$A:$A,"&gt;="&amp;R$27,'500'!$A:$A,"&lt;="&amp;R$28)+sumifs('300'!$D:$D,'300'!$B:$B,$D51,'300'!$A:$A,"&gt;="&amp;R$27,'300'!$A:$A,"&lt;="&amp;R$28)+sumifs('600.VPA'!$D:$D,'600.VPA'!$B:$B,$D51,'600.VPA'!$A:$A,"&gt;="&amp;R$27,'600.VPA'!$A:$A,"&lt;="&amp;R$28)</f>
        <v>0</v>
      </c>
      <c r="S51" s="114">
        <f>sumifs(Boss!$D:$D,Boss!$B:$B,$D51,Boss!$A:$A,"&gt;="&amp;S$27,Boss!$A:$A,"&lt;="&amp;S$28)+sumifs(VPA.Director!$D:$D,VPA.Director!$B:$B,$D51,VPA.Director!$A:$A,"&gt;="&amp;S$27,VPA.Director!$A:$A,"&lt;="&amp;S$28)+sumifs(ADC.Director!$D:$D,ADC.Director!$B:$B,$D51,ADC.Director!$A:$A,"&gt;="&amp;S$27,ADC.Director!$A:$A,"&lt;="&amp;S$28)+sumifs('000'!$D:$D,'000'!$B:$B,$D51,'000'!$A:$A,"&gt;="&amp;S$27,'000'!$A:$A,"&lt;="&amp;S$28)+sumifs('500'!$D:$D,'500'!$B:$B,$D51,'500'!$A:$A,"&gt;="&amp;S$27,'500'!$A:$A,"&lt;="&amp;S$28)+sumifs('300'!$D:$D,'300'!$B:$B,$D51,'300'!$A:$A,"&gt;="&amp;S$27,'300'!$A:$A,"&lt;="&amp;S$28)+sumifs('600.VPA'!$D:$D,'600.VPA'!$B:$B,$D51,'600.VPA'!$A:$A,"&gt;="&amp;S$27,'600.VPA'!$A:$A,"&lt;="&amp;S$28)</f>
        <v>0</v>
      </c>
      <c r="T51" s="114">
        <f>sumifs(Boss!$D:$D,Boss!$B:$B,$D51,Boss!$A:$A,"&gt;="&amp;T$27,Boss!$A:$A,"&lt;="&amp;T$28)+sumifs(VPA.Director!$D:$D,VPA.Director!$B:$B,$D51,VPA.Director!$A:$A,"&gt;="&amp;T$27,VPA.Director!$A:$A,"&lt;="&amp;T$28)+sumifs(ADC.Director!$D:$D,ADC.Director!$B:$B,$D51,ADC.Director!$A:$A,"&gt;="&amp;T$27,ADC.Director!$A:$A,"&lt;="&amp;T$28)+sumifs('000'!$D:$D,'000'!$B:$B,$D51,'000'!$A:$A,"&gt;="&amp;T$27,'000'!$A:$A,"&lt;="&amp;T$28)+sumifs('500'!$D:$D,'500'!$B:$B,$D51,'500'!$A:$A,"&gt;="&amp;T$27,'500'!$A:$A,"&lt;="&amp;T$28)+sumifs('300'!$D:$D,'300'!$B:$B,$D51,'300'!$A:$A,"&gt;="&amp;T$27,'300'!$A:$A,"&lt;="&amp;T$28)+sumifs('600.VPA'!$D:$D,'600.VPA'!$B:$B,$D51,'600.VPA'!$A:$A,"&gt;="&amp;T$27,'600.VPA'!$A:$A,"&lt;="&amp;T$28)</f>
        <v>0</v>
      </c>
      <c r="U51" s="86"/>
      <c r="V51" s="115">
        <f t="shared" si="1"/>
        <v>0</v>
      </c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7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</row>
    <row r="52" hidden="1">
      <c r="A52" s="86"/>
      <c r="B52" s="100"/>
      <c r="D52" s="90" t="s">
        <v>118</v>
      </c>
      <c r="E52" s="113" t="s">
        <v>25</v>
      </c>
      <c r="F52" s="90" t="s">
        <v>119</v>
      </c>
      <c r="G52" s="90" t="s">
        <v>120</v>
      </c>
      <c r="H52" s="90" t="s">
        <v>68</v>
      </c>
      <c r="I52" s="114">
        <f>sumifs(Boss!$D:$D,Boss!$B:$B,$D52,Boss!$A:$A,"&gt;="&amp;I$27,Boss!$A:$A,"&lt;="&amp;I$28)+sumifs(VPA.Director!$D:$D,VPA.Director!$B:$B,$D52,VPA.Director!$A:$A,"&gt;="&amp;I$27,VPA.Director!$A:$A,"&lt;="&amp;I$28)+sumifs(ADC.Director!$D:$D,ADC.Director!$B:$B,$D52,ADC.Director!$A:$A,"&gt;="&amp;I$27,ADC.Director!$A:$A,"&lt;="&amp;I$28)+sumifs('000'!$D:$D,'000'!$B:$B,$D52,'000'!$A:$A,"&gt;="&amp;I$27,'000'!$A:$A,"&lt;="&amp;I$28)+sumifs('500'!$D:$D,'500'!$B:$B,$D52,'500'!$A:$A,"&gt;="&amp;I$27,'500'!$A:$A,"&lt;="&amp;I$28)+sumifs('300'!$D:$D,'300'!$B:$B,$D52,'300'!$A:$A,"&gt;="&amp;I$27,'300'!$A:$A,"&lt;="&amp;I$28)+sumifs('600.VPA'!$D:$D,'600.VPA'!$B:$B,$D52,'600.VPA'!$A:$A,"&gt;="&amp;I$27,'600.VPA'!$A:$A,"&lt;="&amp;I$28)</f>
        <v>0</v>
      </c>
      <c r="J52" s="114">
        <f>sumifs(Boss!$D:$D,Boss!$B:$B,$D52,Boss!$A:$A,"&gt;="&amp;J$27,Boss!$A:$A,"&lt;="&amp;J$28)+sumifs(VPA.Director!$D:$D,VPA.Director!$B:$B,$D52,VPA.Director!$A:$A,"&gt;="&amp;J$27,VPA.Director!$A:$A,"&lt;="&amp;J$28)+sumifs(ADC.Director!$D:$D,ADC.Director!$B:$B,$D52,ADC.Director!$A:$A,"&gt;="&amp;J$27,ADC.Director!$A:$A,"&lt;="&amp;J$28)+sumifs('000'!$D:$D,'000'!$B:$B,$D52,'000'!$A:$A,"&gt;="&amp;J$27,'000'!$A:$A,"&lt;="&amp;J$28)+sumifs('500'!$D:$D,'500'!$B:$B,$D52,'500'!$A:$A,"&gt;="&amp;J$27,'500'!$A:$A,"&lt;="&amp;J$28)+sumifs('300'!$D:$D,'300'!$B:$B,$D52,'300'!$A:$A,"&gt;="&amp;J$27,'300'!$A:$A,"&lt;="&amp;J$28)+sumifs('600.VPA'!$D:$D,'600.VPA'!$B:$B,$D52,'600.VPA'!$A:$A,"&gt;="&amp;J$27,'600.VPA'!$A:$A,"&lt;="&amp;J$28)</f>
        <v>0</v>
      </c>
      <c r="K52" s="114">
        <f>sumifs(Boss!$D:$D,Boss!$B:$B,$D52,Boss!$A:$A,"&gt;="&amp;K$27,Boss!$A:$A,"&lt;="&amp;K$28)+sumifs(VPA.Director!$D:$D,VPA.Director!$B:$B,$D52,VPA.Director!$A:$A,"&gt;="&amp;K$27,VPA.Director!$A:$A,"&lt;="&amp;K$28)+sumifs(ADC.Director!$D:$D,ADC.Director!$B:$B,$D52,ADC.Director!$A:$A,"&gt;="&amp;K$27,ADC.Director!$A:$A,"&lt;="&amp;K$28)+sumifs('000'!$D:$D,'000'!$B:$B,$D52,'000'!$A:$A,"&gt;="&amp;K$27,'000'!$A:$A,"&lt;="&amp;K$28)+sumifs('500'!$D:$D,'500'!$B:$B,$D52,'500'!$A:$A,"&gt;="&amp;K$27,'500'!$A:$A,"&lt;="&amp;K$28)+sumifs('300'!$D:$D,'300'!$B:$B,$D52,'300'!$A:$A,"&gt;="&amp;K$27,'300'!$A:$A,"&lt;="&amp;K$28)+sumifs('600.VPA'!$D:$D,'600.VPA'!$B:$B,$D52,'600.VPA'!$A:$A,"&gt;="&amp;K$27,'600.VPA'!$A:$A,"&lt;="&amp;K$28)</f>
        <v>0</v>
      </c>
      <c r="L52" s="114">
        <f>sumifs(Boss!$D:$D,Boss!$B:$B,$D52,Boss!$A:$A,"&gt;="&amp;L$27,Boss!$A:$A,"&lt;="&amp;L$28)+sumifs(VPA.Director!$D:$D,VPA.Director!$B:$B,$D52,VPA.Director!$A:$A,"&gt;="&amp;L$27,VPA.Director!$A:$A,"&lt;="&amp;L$28)+sumifs(ADC.Director!$D:$D,ADC.Director!$B:$B,$D52,ADC.Director!$A:$A,"&gt;="&amp;L$27,ADC.Director!$A:$A,"&lt;="&amp;L$28)+sumifs('000'!$D:$D,'000'!$B:$B,$D52,'000'!$A:$A,"&gt;="&amp;L$27,'000'!$A:$A,"&lt;="&amp;L$28)+sumifs('500'!$D:$D,'500'!$B:$B,$D52,'500'!$A:$A,"&gt;="&amp;L$27,'500'!$A:$A,"&lt;="&amp;L$28)+sumifs('300'!$D:$D,'300'!$B:$B,$D52,'300'!$A:$A,"&gt;="&amp;L$27,'300'!$A:$A,"&lt;="&amp;L$28)+sumifs('600.VPA'!$D:$D,'600.VPA'!$B:$B,$D52,'600.VPA'!$A:$A,"&gt;="&amp;L$27,'600.VPA'!$A:$A,"&lt;="&amp;L$28)</f>
        <v>0</v>
      </c>
      <c r="M52" s="114">
        <f>sumifs(Boss!$D:$D,Boss!$B:$B,$D52,Boss!$A:$A,"&gt;="&amp;M$27,Boss!$A:$A,"&lt;="&amp;M$28)+sumifs(VPA.Director!$D:$D,VPA.Director!$B:$B,$D52,VPA.Director!$A:$A,"&gt;="&amp;M$27,VPA.Director!$A:$A,"&lt;="&amp;M$28)+sumifs(ADC.Director!$D:$D,ADC.Director!$B:$B,$D52,ADC.Director!$A:$A,"&gt;="&amp;M$27,ADC.Director!$A:$A,"&lt;="&amp;M$28)+sumifs('000'!$D:$D,'000'!$B:$B,$D52,'000'!$A:$A,"&gt;="&amp;M$27,'000'!$A:$A,"&lt;="&amp;M$28)+sumifs('500'!$D:$D,'500'!$B:$B,$D52,'500'!$A:$A,"&gt;="&amp;M$27,'500'!$A:$A,"&lt;="&amp;M$28)+sumifs('300'!$D:$D,'300'!$B:$B,$D52,'300'!$A:$A,"&gt;="&amp;M$27,'300'!$A:$A,"&lt;="&amp;M$28)+sumifs('600.VPA'!$D:$D,'600.VPA'!$B:$B,$D52,'600.VPA'!$A:$A,"&gt;="&amp;M$27,'600.VPA'!$A:$A,"&lt;="&amp;M$28)</f>
        <v>0</v>
      </c>
      <c r="N52" s="114">
        <f>sumifs(Boss!$D:$D,Boss!$B:$B,$D52,Boss!$A:$A,"&gt;="&amp;N$27,Boss!$A:$A,"&lt;="&amp;N$28)+sumifs(VPA.Director!$D:$D,VPA.Director!$B:$B,$D52,VPA.Director!$A:$A,"&gt;="&amp;N$27,VPA.Director!$A:$A,"&lt;="&amp;N$28)+sumifs(ADC.Director!$D:$D,ADC.Director!$B:$B,$D52,ADC.Director!$A:$A,"&gt;="&amp;N$27,ADC.Director!$A:$A,"&lt;="&amp;N$28)+sumifs('000'!$D:$D,'000'!$B:$B,$D52,'000'!$A:$A,"&gt;="&amp;N$27,'000'!$A:$A,"&lt;="&amp;N$28)+sumifs('500'!$D:$D,'500'!$B:$B,$D52,'500'!$A:$A,"&gt;="&amp;N$27,'500'!$A:$A,"&lt;="&amp;N$28)+sumifs('300'!$D:$D,'300'!$B:$B,$D52,'300'!$A:$A,"&gt;="&amp;N$27,'300'!$A:$A,"&lt;="&amp;N$28)+sumifs('600.VPA'!$D:$D,'600.VPA'!$B:$B,$D52,'600.VPA'!$A:$A,"&gt;="&amp;N$27,'600.VPA'!$A:$A,"&lt;="&amp;N$28)</f>
        <v>0</v>
      </c>
      <c r="O52" s="114">
        <f>sumifs(Boss!$D:$D,Boss!$B:$B,$D52,Boss!$A:$A,"&gt;="&amp;O$27,Boss!$A:$A,"&lt;="&amp;O$28)+sumifs(VPA.Director!$D:$D,VPA.Director!$B:$B,$D52,VPA.Director!$A:$A,"&gt;="&amp;O$27,VPA.Director!$A:$A,"&lt;="&amp;O$28)+sumifs(ADC.Director!$D:$D,ADC.Director!$B:$B,$D52,ADC.Director!$A:$A,"&gt;="&amp;O$27,ADC.Director!$A:$A,"&lt;="&amp;O$28)+sumifs('000'!$D:$D,'000'!$B:$B,$D52,'000'!$A:$A,"&gt;="&amp;O$27,'000'!$A:$A,"&lt;="&amp;O$28)+sumifs('500'!$D:$D,'500'!$B:$B,$D52,'500'!$A:$A,"&gt;="&amp;O$27,'500'!$A:$A,"&lt;="&amp;O$28)+sumifs('300'!$D:$D,'300'!$B:$B,$D52,'300'!$A:$A,"&gt;="&amp;O$27,'300'!$A:$A,"&lt;="&amp;O$28)+sumifs('600.VPA'!$D:$D,'600.VPA'!$B:$B,$D52,'600.VPA'!$A:$A,"&gt;="&amp;O$27,'600.VPA'!$A:$A,"&lt;="&amp;O$28)</f>
        <v>0</v>
      </c>
      <c r="P52" s="114">
        <f>sumifs(Boss!$D:$D,Boss!$B:$B,$D52,Boss!$A:$A,"&gt;="&amp;P$27,Boss!$A:$A,"&lt;="&amp;P$28)+sumifs(VPA.Director!$D:$D,VPA.Director!$B:$B,$D52,VPA.Director!$A:$A,"&gt;="&amp;P$27,VPA.Director!$A:$A,"&lt;="&amp;P$28)+sumifs(ADC.Director!$D:$D,ADC.Director!$B:$B,$D52,ADC.Director!$A:$A,"&gt;="&amp;P$27,ADC.Director!$A:$A,"&lt;="&amp;P$28)+sumifs('000'!$D:$D,'000'!$B:$B,$D52,'000'!$A:$A,"&gt;="&amp;P$27,'000'!$A:$A,"&lt;="&amp;P$28)+sumifs('500'!$D:$D,'500'!$B:$B,$D52,'500'!$A:$A,"&gt;="&amp;P$27,'500'!$A:$A,"&lt;="&amp;P$28)+sumifs('300'!$D:$D,'300'!$B:$B,$D52,'300'!$A:$A,"&gt;="&amp;P$27,'300'!$A:$A,"&lt;="&amp;P$28)+sumifs('600.VPA'!$D:$D,'600.VPA'!$B:$B,$D52,'600.VPA'!$A:$A,"&gt;="&amp;P$27,'600.VPA'!$A:$A,"&lt;="&amp;P$28)</f>
        <v>0</v>
      </c>
      <c r="Q52" s="114">
        <f>sumifs(Boss!$D:$D,Boss!$B:$B,$D52,Boss!$A:$A,"&gt;="&amp;Q$27,Boss!$A:$A,"&lt;="&amp;Q$28)+sumifs(VPA.Director!$D:$D,VPA.Director!$B:$B,$D52,VPA.Director!$A:$A,"&gt;="&amp;Q$27,VPA.Director!$A:$A,"&lt;="&amp;Q$28)+sumifs(ADC.Director!$D:$D,ADC.Director!$B:$B,$D52,ADC.Director!$A:$A,"&gt;="&amp;Q$27,ADC.Director!$A:$A,"&lt;="&amp;Q$28)+sumifs('000'!$D:$D,'000'!$B:$B,$D52,'000'!$A:$A,"&gt;="&amp;Q$27,'000'!$A:$A,"&lt;="&amp;Q$28)+sumifs('500'!$D:$D,'500'!$B:$B,$D52,'500'!$A:$A,"&gt;="&amp;Q$27,'500'!$A:$A,"&lt;="&amp;Q$28)+sumifs('300'!$D:$D,'300'!$B:$B,$D52,'300'!$A:$A,"&gt;="&amp;Q$27,'300'!$A:$A,"&lt;="&amp;Q$28)+sumifs('600.VPA'!$D:$D,'600.VPA'!$B:$B,$D52,'600.VPA'!$A:$A,"&gt;="&amp;Q$27,'600.VPA'!$A:$A,"&lt;="&amp;Q$28)</f>
        <v>0</v>
      </c>
      <c r="R52" s="114">
        <f>sumifs(Boss!$D:$D,Boss!$B:$B,$D52,Boss!$A:$A,"&gt;="&amp;R$27,Boss!$A:$A,"&lt;="&amp;R$28)+sumifs(VPA.Director!$D:$D,VPA.Director!$B:$B,$D52,VPA.Director!$A:$A,"&gt;="&amp;R$27,VPA.Director!$A:$A,"&lt;="&amp;R$28)+sumifs(ADC.Director!$D:$D,ADC.Director!$B:$B,$D52,ADC.Director!$A:$A,"&gt;="&amp;R$27,ADC.Director!$A:$A,"&lt;="&amp;R$28)+sumifs('000'!$D:$D,'000'!$B:$B,$D52,'000'!$A:$A,"&gt;="&amp;R$27,'000'!$A:$A,"&lt;="&amp;R$28)+sumifs('500'!$D:$D,'500'!$B:$B,$D52,'500'!$A:$A,"&gt;="&amp;R$27,'500'!$A:$A,"&lt;="&amp;R$28)+sumifs('300'!$D:$D,'300'!$B:$B,$D52,'300'!$A:$A,"&gt;="&amp;R$27,'300'!$A:$A,"&lt;="&amp;R$28)+sumifs('600.VPA'!$D:$D,'600.VPA'!$B:$B,$D52,'600.VPA'!$A:$A,"&gt;="&amp;R$27,'600.VPA'!$A:$A,"&lt;="&amp;R$28)</f>
        <v>0</v>
      </c>
      <c r="S52" s="114">
        <f>sumifs(Boss!$D:$D,Boss!$B:$B,$D52,Boss!$A:$A,"&gt;="&amp;S$27,Boss!$A:$A,"&lt;="&amp;S$28)+sumifs(VPA.Director!$D:$D,VPA.Director!$B:$B,$D52,VPA.Director!$A:$A,"&gt;="&amp;S$27,VPA.Director!$A:$A,"&lt;="&amp;S$28)+sumifs(ADC.Director!$D:$D,ADC.Director!$B:$B,$D52,ADC.Director!$A:$A,"&gt;="&amp;S$27,ADC.Director!$A:$A,"&lt;="&amp;S$28)+sumifs('000'!$D:$D,'000'!$B:$B,$D52,'000'!$A:$A,"&gt;="&amp;S$27,'000'!$A:$A,"&lt;="&amp;S$28)+sumifs('500'!$D:$D,'500'!$B:$B,$D52,'500'!$A:$A,"&gt;="&amp;S$27,'500'!$A:$A,"&lt;="&amp;S$28)+sumifs('300'!$D:$D,'300'!$B:$B,$D52,'300'!$A:$A,"&gt;="&amp;S$27,'300'!$A:$A,"&lt;="&amp;S$28)+sumifs('600.VPA'!$D:$D,'600.VPA'!$B:$B,$D52,'600.VPA'!$A:$A,"&gt;="&amp;S$27,'600.VPA'!$A:$A,"&lt;="&amp;S$28)</f>
        <v>0</v>
      </c>
      <c r="T52" s="114">
        <f>sumifs(Boss!$D:$D,Boss!$B:$B,$D52,Boss!$A:$A,"&gt;="&amp;T$27,Boss!$A:$A,"&lt;="&amp;T$28)+sumifs(VPA.Director!$D:$D,VPA.Director!$B:$B,$D52,VPA.Director!$A:$A,"&gt;="&amp;T$27,VPA.Director!$A:$A,"&lt;="&amp;T$28)+sumifs(ADC.Director!$D:$D,ADC.Director!$B:$B,$D52,ADC.Director!$A:$A,"&gt;="&amp;T$27,ADC.Director!$A:$A,"&lt;="&amp;T$28)+sumifs('000'!$D:$D,'000'!$B:$B,$D52,'000'!$A:$A,"&gt;="&amp;T$27,'000'!$A:$A,"&lt;="&amp;T$28)+sumifs('500'!$D:$D,'500'!$B:$B,$D52,'500'!$A:$A,"&gt;="&amp;T$27,'500'!$A:$A,"&lt;="&amp;T$28)+sumifs('300'!$D:$D,'300'!$B:$B,$D52,'300'!$A:$A,"&gt;="&amp;T$27,'300'!$A:$A,"&lt;="&amp;T$28)+sumifs('600.VPA'!$D:$D,'600.VPA'!$B:$B,$D52,'600.VPA'!$A:$A,"&gt;="&amp;T$27,'600.VPA'!$A:$A,"&lt;="&amp;T$28)</f>
        <v>0</v>
      </c>
      <c r="U52" s="86"/>
      <c r="V52" s="115">
        <f t="shared" si="1"/>
        <v>0</v>
      </c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7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</row>
    <row r="53" hidden="1">
      <c r="A53" s="86"/>
      <c r="B53" s="100"/>
      <c r="D53" s="90" t="s">
        <v>121</v>
      </c>
      <c r="E53" s="113" t="s">
        <v>27</v>
      </c>
      <c r="F53" s="90" t="s">
        <v>122</v>
      </c>
      <c r="G53" s="90" t="s">
        <v>123</v>
      </c>
      <c r="H53" s="90" t="s">
        <v>68</v>
      </c>
      <c r="I53" s="114">
        <f>sumifs(Boss!$D:$D,Boss!$B:$B,$D53,Boss!$A:$A,"&gt;="&amp;I$27,Boss!$A:$A,"&lt;="&amp;I$28)+sumifs(VPA.Director!$D:$D,VPA.Director!$B:$B,$D53,VPA.Director!$A:$A,"&gt;="&amp;I$27,VPA.Director!$A:$A,"&lt;="&amp;I$28)+sumifs(ADC.Director!$D:$D,ADC.Director!$B:$B,$D53,ADC.Director!$A:$A,"&gt;="&amp;I$27,ADC.Director!$A:$A,"&lt;="&amp;I$28)+sumifs('000'!$D:$D,'000'!$B:$B,$D53,'000'!$A:$A,"&gt;="&amp;I$27,'000'!$A:$A,"&lt;="&amp;I$28)+sumifs('500'!$D:$D,'500'!$B:$B,$D53,'500'!$A:$A,"&gt;="&amp;I$27,'500'!$A:$A,"&lt;="&amp;I$28)+sumifs('300'!$D:$D,'300'!$B:$B,$D53,'300'!$A:$A,"&gt;="&amp;I$27,'300'!$A:$A,"&lt;="&amp;I$28)+sumifs('600.VPA'!$D:$D,'600.VPA'!$B:$B,$D53,'600.VPA'!$A:$A,"&gt;="&amp;I$27,'600.VPA'!$A:$A,"&lt;="&amp;I$28)</f>
        <v>0</v>
      </c>
      <c r="J53" s="114">
        <f>sumifs(Boss!$D:$D,Boss!$B:$B,$D53,Boss!$A:$A,"&gt;="&amp;J$27,Boss!$A:$A,"&lt;="&amp;J$28)+sumifs(VPA.Director!$D:$D,VPA.Director!$B:$B,$D53,VPA.Director!$A:$A,"&gt;="&amp;J$27,VPA.Director!$A:$A,"&lt;="&amp;J$28)+sumifs(ADC.Director!$D:$D,ADC.Director!$B:$B,$D53,ADC.Director!$A:$A,"&gt;="&amp;J$27,ADC.Director!$A:$A,"&lt;="&amp;J$28)+sumifs('000'!$D:$D,'000'!$B:$B,$D53,'000'!$A:$A,"&gt;="&amp;J$27,'000'!$A:$A,"&lt;="&amp;J$28)+sumifs('500'!$D:$D,'500'!$B:$B,$D53,'500'!$A:$A,"&gt;="&amp;J$27,'500'!$A:$A,"&lt;="&amp;J$28)+sumifs('300'!$D:$D,'300'!$B:$B,$D53,'300'!$A:$A,"&gt;="&amp;J$27,'300'!$A:$A,"&lt;="&amp;J$28)+sumifs('600.VPA'!$D:$D,'600.VPA'!$B:$B,$D53,'600.VPA'!$A:$A,"&gt;="&amp;J$27,'600.VPA'!$A:$A,"&lt;="&amp;J$28)</f>
        <v>0</v>
      </c>
      <c r="K53" s="114">
        <f>sumifs(Boss!$D:$D,Boss!$B:$B,$D53,Boss!$A:$A,"&gt;="&amp;K$27,Boss!$A:$A,"&lt;="&amp;K$28)+sumifs(VPA.Director!$D:$D,VPA.Director!$B:$B,$D53,VPA.Director!$A:$A,"&gt;="&amp;K$27,VPA.Director!$A:$A,"&lt;="&amp;K$28)+sumifs(ADC.Director!$D:$D,ADC.Director!$B:$B,$D53,ADC.Director!$A:$A,"&gt;="&amp;K$27,ADC.Director!$A:$A,"&lt;="&amp;K$28)+sumifs('000'!$D:$D,'000'!$B:$B,$D53,'000'!$A:$A,"&gt;="&amp;K$27,'000'!$A:$A,"&lt;="&amp;K$28)+sumifs('500'!$D:$D,'500'!$B:$B,$D53,'500'!$A:$A,"&gt;="&amp;K$27,'500'!$A:$A,"&lt;="&amp;K$28)+sumifs('300'!$D:$D,'300'!$B:$B,$D53,'300'!$A:$A,"&gt;="&amp;K$27,'300'!$A:$A,"&lt;="&amp;K$28)+sumifs('600.VPA'!$D:$D,'600.VPA'!$B:$B,$D53,'600.VPA'!$A:$A,"&gt;="&amp;K$27,'600.VPA'!$A:$A,"&lt;="&amp;K$28)</f>
        <v>0</v>
      </c>
      <c r="L53" s="114">
        <f>sumifs(Boss!$D:$D,Boss!$B:$B,$D53,Boss!$A:$A,"&gt;="&amp;L$27,Boss!$A:$A,"&lt;="&amp;L$28)+sumifs(VPA.Director!$D:$D,VPA.Director!$B:$B,$D53,VPA.Director!$A:$A,"&gt;="&amp;L$27,VPA.Director!$A:$A,"&lt;="&amp;L$28)+sumifs(ADC.Director!$D:$D,ADC.Director!$B:$B,$D53,ADC.Director!$A:$A,"&gt;="&amp;L$27,ADC.Director!$A:$A,"&lt;="&amp;L$28)+sumifs('000'!$D:$D,'000'!$B:$B,$D53,'000'!$A:$A,"&gt;="&amp;L$27,'000'!$A:$A,"&lt;="&amp;L$28)+sumifs('500'!$D:$D,'500'!$B:$B,$D53,'500'!$A:$A,"&gt;="&amp;L$27,'500'!$A:$A,"&lt;="&amp;L$28)+sumifs('300'!$D:$D,'300'!$B:$B,$D53,'300'!$A:$A,"&gt;="&amp;L$27,'300'!$A:$A,"&lt;="&amp;L$28)+sumifs('600.VPA'!$D:$D,'600.VPA'!$B:$B,$D53,'600.VPA'!$A:$A,"&gt;="&amp;L$27,'600.VPA'!$A:$A,"&lt;="&amp;L$28)</f>
        <v>0</v>
      </c>
      <c r="M53" s="114">
        <f>sumifs(Boss!$D:$D,Boss!$B:$B,$D53,Boss!$A:$A,"&gt;="&amp;M$27,Boss!$A:$A,"&lt;="&amp;M$28)+sumifs(VPA.Director!$D:$D,VPA.Director!$B:$B,$D53,VPA.Director!$A:$A,"&gt;="&amp;M$27,VPA.Director!$A:$A,"&lt;="&amp;M$28)+sumifs(ADC.Director!$D:$D,ADC.Director!$B:$B,$D53,ADC.Director!$A:$A,"&gt;="&amp;M$27,ADC.Director!$A:$A,"&lt;="&amp;M$28)+sumifs('000'!$D:$D,'000'!$B:$B,$D53,'000'!$A:$A,"&gt;="&amp;M$27,'000'!$A:$A,"&lt;="&amp;M$28)+sumifs('500'!$D:$D,'500'!$B:$B,$D53,'500'!$A:$A,"&gt;="&amp;M$27,'500'!$A:$A,"&lt;="&amp;M$28)+sumifs('300'!$D:$D,'300'!$B:$B,$D53,'300'!$A:$A,"&gt;="&amp;M$27,'300'!$A:$A,"&lt;="&amp;M$28)+sumifs('600.VPA'!$D:$D,'600.VPA'!$B:$B,$D53,'600.VPA'!$A:$A,"&gt;="&amp;M$27,'600.VPA'!$A:$A,"&lt;="&amp;M$28)</f>
        <v>0</v>
      </c>
      <c r="N53" s="114">
        <f>sumifs(Boss!$D:$D,Boss!$B:$B,$D53,Boss!$A:$A,"&gt;="&amp;N$27,Boss!$A:$A,"&lt;="&amp;N$28)+sumifs(VPA.Director!$D:$D,VPA.Director!$B:$B,$D53,VPA.Director!$A:$A,"&gt;="&amp;N$27,VPA.Director!$A:$A,"&lt;="&amp;N$28)+sumifs(ADC.Director!$D:$D,ADC.Director!$B:$B,$D53,ADC.Director!$A:$A,"&gt;="&amp;N$27,ADC.Director!$A:$A,"&lt;="&amp;N$28)+sumifs('000'!$D:$D,'000'!$B:$B,$D53,'000'!$A:$A,"&gt;="&amp;N$27,'000'!$A:$A,"&lt;="&amp;N$28)+sumifs('500'!$D:$D,'500'!$B:$B,$D53,'500'!$A:$A,"&gt;="&amp;N$27,'500'!$A:$A,"&lt;="&amp;N$28)+sumifs('300'!$D:$D,'300'!$B:$B,$D53,'300'!$A:$A,"&gt;="&amp;N$27,'300'!$A:$A,"&lt;="&amp;N$28)+sumifs('600.VPA'!$D:$D,'600.VPA'!$B:$B,$D53,'600.VPA'!$A:$A,"&gt;="&amp;N$27,'600.VPA'!$A:$A,"&lt;="&amp;N$28)</f>
        <v>0</v>
      </c>
      <c r="O53" s="114">
        <f>sumifs(Boss!$D:$D,Boss!$B:$B,$D53,Boss!$A:$A,"&gt;="&amp;O$27,Boss!$A:$A,"&lt;="&amp;O$28)+sumifs(VPA.Director!$D:$D,VPA.Director!$B:$B,$D53,VPA.Director!$A:$A,"&gt;="&amp;O$27,VPA.Director!$A:$A,"&lt;="&amp;O$28)+sumifs(ADC.Director!$D:$D,ADC.Director!$B:$B,$D53,ADC.Director!$A:$A,"&gt;="&amp;O$27,ADC.Director!$A:$A,"&lt;="&amp;O$28)+sumifs('000'!$D:$D,'000'!$B:$B,$D53,'000'!$A:$A,"&gt;="&amp;O$27,'000'!$A:$A,"&lt;="&amp;O$28)+sumifs('500'!$D:$D,'500'!$B:$B,$D53,'500'!$A:$A,"&gt;="&amp;O$27,'500'!$A:$A,"&lt;="&amp;O$28)+sumifs('300'!$D:$D,'300'!$B:$B,$D53,'300'!$A:$A,"&gt;="&amp;O$27,'300'!$A:$A,"&lt;="&amp;O$28)+sumifs('600.VPA'!$D:$D,'600.VPA'!$B:$B,$D53,'600.VPA'!$A:$A,"&gt;="&amp;O$27,'600.VPA'!$A:$A,"&lt;="&amp;O$28)</f>
        <v>0</v>
      </c>
      <c r="P53" s="114">
        <f>sumifs(Boss!$D:$D,Boss!$B:$B,$D53,Boss!$A:$A,"&gt;="&amp;P$27,Boss!$A:$A,"&lt;="&amp;P$28)+sumifs(VPA.Director!$D:$D,VPA.Director!$B:$B,$D53,VPA.Director!$A:$A,"&gt;="&amp;P$27,VPA.Director!$A:$A,"&lt;="&amp;P$28)+sumifs(ADC.Director!$D:$D,ADC.Director!$B:$B,$D53,ADC.Director!$A:$A,"&gt;="&amp;P$27,ADC.Director!$A:$A,"&lt;="&amp;P$28)+sumifs('000'!$D:$D,'000'!$B:$B,$D53,'000'!$A:$A,"&gt;="&amp;P$27,'000'!$A:$A,"&lt;="&amp;P$28)+sumifs('500'!$D:$D,'500'!$B:$B,$D53,'500'!$A:$A,"&gt;="&amp;P$27,'500'!$A:$A,"&lt;="&amp;P$28)+sumifs('300'!$D:$D,'300'!$B:$B,$D53,'300'!$A:$A,"&gt;="&amp;P$27,'300'!$A:$A,"&lt;="&amp;P$28)+sumifs('600.VPA'!$D:$D,'600.VPA'!$B:$B,$D53,'600.VPA'!$A:$A,"&gt;="&amp;P$27,'600.VPA'!$A:$A,"&lt;="&amp;P$28)</f>
        <v>0</v>
      </c>
      <c r="Q53" s="114">
        <f>sumifs(Boss!$D:$D,Boss!$B:$B,$D53,Boss!$A:$A,"&gt;="&amp;Q$27,Boss!$A:$A,"&lt;="&amp;Q$28)+sumifs(VPA.Director!$D:$D,VPA.Director!$B:$B,$D53,VPA.Director!$A:$A,"&gt;="&amp;Q$27,VPA.Director!$A:$A,"&lt;="&amp;Q$28)+sumifs(ADC.Director!$D:$D,ADC.Director!$B:$B,$D53,ADC.Director!$A:$A,"&gt;="&amp;Q$27,ADC.Director!$A:$A,"&lt;="&amp;Q$28)+sumifs('000'!$D:$D,'000'!$B:$B,$D53,'000'!$A:$A,"&gt;="&amp;Q$27,'000'!$A:$A,"&lt;="&amp;Q$28)+sumifs('500'!$D:$D,'500'!$B:$B,$D53,'500'!$A:$A,"&gt;="&amp;Q$27,'500'!$A:$A,"&lt;="&amp;Q$28)+sumifs('300'!$D:$D,'300'!$B:$B,$D53,'300'!$A:$A,"&gt;="&amp;Q$27,'300'!$A:$A,"&lt;="&amp;Q$28)+sumifs('600.VPA'!$D:$D,'600.VPA'!$B:$B,$D53,'600.VPA'!$A:$A,"&gt;="&amp;Q$27,'600.VPA'!$A:$A,"&lt;="&amp;Q$28)</f>
        <v>0</v>
      </c>
      <c r="R53" s="114">
        <f>sumifs(Boss!$D:$D,Boss!$B:$B,$D53,Boss!$A:$A,"&gt;="&amp;R$27,Boss!$A:$A,"&lt;="&amp;R$28)+sumifs(VPA.Director!$D:$D,VPA.Director!$B:$B,$D53,VPA.Director!$A:$A,"&gt;="&amp;R$27,VPA.Director!$A:$A,"&lt;="&amp;R$28)+sumifs(ADC.Director!$D:$D,ADC.Director!$B:$B,$D53,ADC.Director!$A:$A,"&gt;="&amp;R$27,ADC.Director!$A:$A,"&lt;="&amp;R$28)+sumifs('000'!$D:$D,'000'!$B:$B,$D53,'000'!$A:$A,"&gt;="&amp;R$27,'000'!$A:$A,"&lt;="&amp;R$28)+sumifs('500'!$D:$D,'500'!$B:$B,$D53,'500'!$A:$A,"&gt;="&amp;R$27,'500'!$A:$A,"&lt;="&amp;R$28)+sumifs('300'!$D:$D,'300'!$B:$B,$D53,'300'!$A:$A,"&gt;="&amp;R$27,'300'!$A:$A,"&lt;="&amp;R$28)+sumifs('600.VPA'!$D:$D,'600.VPA'!$B:$B,$D53,'600.VPA'!$A:$A,"&gt;="&amp;R$27,'600.VPA'!$A:$A,"&lt;="&amp;R$28)</f>
        <v>0</v>
      </c>
      <c r="S53" s="114">
        <f>sumifs(Boss!$D:$D,Boss!$B:$B,$D53,Boss!$A:$A,"&gt;="&amp;S$27,Boss!$A:$A,"&lt;="&amp;S$28)+sumifs(VPA.Director!$D:$D,VPA.Director!$B:$B,$D53,VPA.Director!$A:$A,"&gt;="&amp;S$27,VPA.Director!$A:$A,"&lt;="&amp;S$28)+sumifs(ADC.Director!$D:$D,ADC.Director!$B:$B,$D53,ADC.Director!$A:$A,"&gt;="&amp;S$27,ADC.Director!$A:$A,"&lt;="&amp;S$28)+sumifs('000'!$D:$D,'000'!$B:$B,$D53,'000'!$A:$A,"&gt;="&amp;S$27,'000'!$A:$A,"&lt;="&amp;S$28)+sumifs('500'!$D:$D,'500'!$B:$B,$D53,'500'!$A:$A,"&gt;="&amp;S$27,'500'!$A:$A,"&lt;="&amp;S$28)+sumifs('300'!$D:$D,'300'!$B:$B,$D53,'300'!$A:$A,"&gt;="&amp;S$27,'300'!$A:$A,"&lt;="&amp;S$28)+sumifs('600.VPA'!$D:$D,'600.VPA'!$B:$B,$D53,'600.VPA'!$A:$A,"&gt;="&amp;S$27,'600.VPA'!$A:$A,"&lt;="&amp;S$28)</f>
        <v>0</v>
      </c>
      <c r="T53" s="114">
        <f>sumifs(Boss!$D:$D,Boss!$B:$B,$D53,Boss!$A:$A,"&gt;="&amp;T$27,Boss!$A:$A,"&lt;="&amp;T$28)+sumifs(VPA.Director!$D:$D,VPA.Director!$B:$B,$D53,VPA.Director!$A:$A,"&gt;="&amp;T$27,VPA.Director!$A:$A,"&lt;="&amp;T$28)+sumifs(ADC.Director!$D:$D,ADC.Director!$B:$B,$D53,ADC.Director!$A:$A,"&gt;="&amp;T$27,ADC.Director!$A:$A,"&lt;="&amp;T$28)+sumifs('000'!$D:$D,'000'!$B:$B,$D53,'000'!$A:$A,"&gt;="&amp;T$27,'000'!$A:$A,"&lt;="&amp;T$28)+sumifs('500'!$D:$D,'500'!$B:$B,$D53,'500'!$A:$A,"&gt;="&amp;T$27,'500'!$A:$A,"&lt;="&amp;T$28)+sumifs('300'!$D:$D,'300'!$B:$B,$D53,'300'!$A:$A,"&gt;="&amp;T$27,'300'!$A:$A,"&lt;="&amp;T$28)+sumifs('600.VPA'!$D:$D,'600.VPA'!$B:$B,$D53,'600.VPA'!$A:$A,"&gt;="&amp;T$27,'600.VPA'!$A:$A,"&lt;="&amp;T$28)</f>
        <v>0</v>
      </c>
      <c r="U53" s="86"/>
      <c r="V53" s="115">
        <f t="shared" si="1"/>
        <v>0</v>
      </c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7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</row>
    <row r="54" hidden="1">
      <c r="A54" s="86"/>
      <c r="B54" s="100"/>
      <c r="D54" s="90" t="s">
        <v>124</v>
      </c>
      <c r="E54" s="113" t="s">
        <v>29</v>
      </c>
      <c r="F54" s="90" t="s">
        <v>110</v>
      </c>
      <c r="G54" s="90" t="s">
        <v>125</v>
      </c>
      <c r="H54" s="90" t="s">
        <v>68</v>
      </c>
      <c r="I54" s="114">
        <f>sumifs(Boss!$D:$D,Boss!$B:$B,$D54,Boss!$A:$A,"&gt;="&amp;I$27,Boss!$A:$A,"&lt;="&amp;I$28)+sumifs(VPA.Director!$D:$D,VPA.Director!$B:$B,$D54,VPA.Director!$A:$A,"&gt;="&amp;I$27,VPA.Director!$A:$A,"&lt;="&amp;I$28)+sumifs(ADC.Director!$D:$D,ADC.Director!$B:$B,$D54,ADC.Director!$A:$A,"&gt;="&amp;I$27,ADC.Director!$A:$A,"&lt;="&amp;I$28)+sumifs('000'!$D:$D,'000'!$B:$B,$D54,'000'!$A:$A,"&gt;="&amp;I$27,'000'!$A:$A,"&lt;="&amp;I$28)+sumifs('500'!$D:$D,'500'!$B:$B,$D54,'500'!$A:$A,"&gt;="&amp;I$27,'500'!$A:$A,"&lt;="&amp;I$28)+sumifs('300'!$D:$D,'300'!$B:$B,$D54,'300'!$A:$A,"&gt;="&amp;I$27,'300'!$A:$A,"&lt;="&amp;I$28)+sumifs('600.VPA'!$D:$D,'600.VPA'!$B:$B,$D54,'600.VPA'!$A:$A,"&gt;="&amp;I$27,'600.VPA'!$A:$A,"&lt;="&amp;I$28)</f>
        <v>0</v>
      </c>
      <c r="J54" s="114">
        <f>sumifs(Boss!$D:$D,Boss!$B:$B,$D54,Boss!$A:$A,"&gt;="&amp;J$27,Boss!$A:$A,"&lt;="&amp;J$28)+sumifs(VPA.Director!$D:$D,VPA.Director!$B:$B,$D54,VPA.Director!$A:$A,"&gt;="&amp;J$27,VPA.Director!$A:$A,"&lt;="&amp;J$28)+sumifs(ADC.Director!$D:$D,ADC.Director!$B:$B,$D54,ADC.Director!$A:$A,"&gt;="&amp;J$27,ADC.Director!$A:$A,"&lt;="&amp;J$28)+sumifs('000'!$D:$D,'000'!$B:$B,$D54,'000'!$A:$A,"&gt;="&amp;J$27,'000'!$A:$A,"&lt;="&amp;J$28)+sumifs('500'!$D:$D,'500'!$B:$B,$D54,'500'!$A:$A,"&gt;="&amp;J$27,'500'!$A:$A,"&lt;="&amp;J$28)+sumifs('300'!$D:$D,'300'!$B:$B,$D54,'300'!$A:$A,"&gt;="&amp;J$27,'300'!$A:$A,"&lt;="&amp;J$28)+sumifs('600.VPA'!$D:$D,'600.VPA'!$B:$B,$D54,'600.VPA'!$A:$A,"&gt;="&amp;J$27,'600.VPA'!$A:$A,"&lt;="&amp;J$28)</f>
        <v>0</v>
      </c>
      <c r="K54" s="114">
        <f>sumifs(Boss!$D:$D,Boss!$B:$B,$D54,Boss!$A:$A,"&gt;="&amp;K$27,Boss!$A:$A,"&lt;="&amp;K$28)+sumifs(VPA.Director!$D:$D,VPA.Director!$B:$B,$D54,VPA.Director!$A:$A,"&gt;="&amp;K$27,VPA.Director!$A:$A,"&lt;="&amp;K$28)+sumifs(ADC.Director!$D:$D,ADC.Director!$B:$B,$D54,ADC.Director!$A:$A,"&gt;="&amp;K$27,ADC.Director!$A:$A,"&lt;="&amp;K$28)+sumifs('000'!$D:$D,'000'!$B:$B,$D54,'000'!$A:$A,"&gt;="&amp;K$27,'000'!$A:$A,"&lt;="&amp;K$28)+sumifs('500'!$D:$D,'500'!$B:$B,$D54,'500'!$A:$A,"&gt;="&amp;K$27,'500'!$A:$A,"&lt;="&amp;K$28)+sumifs('300'!$D:$D,'300'!$B:$B,$D54,'300'!$A:$A,"&gt;="&amp;K$27,'300'!$A:$A,"&lt;="&amp;K$28)+sumifs('600.VPA'!$D:$D,'600.VPA'!$B:$B,$D54,'600.VPA'!$A:$A,"&gt;="&amp;K$27,'600.VPA'!$A:$A,"&lt;="&amp;K$28)</f>
        <v>0</v>
      </c>
      <c r="L54" s="114">
        <f>sumifs(Boss!$D:$D,Boss!$B:$B,$D54,Boss!$A:$A,"&gt;="&amp;L$27,Boss!$A:$A,"&lt;="&amp;L$28)+sumifs(VPA.Director!$D:$D,VPA.Director!$B:$B,$D54,VPA.Director!$A:$A,"&gt;="&amp;L$27,VPA.Director!$A:$A,"&lt;="&amp;L$28)+sumifs(ADC.Director!$D:$D,ADC.Director!$B:$B,$D54,ADC.Director!$A:$A,"&gt;="&amp;L$27,ADC.Director!$A:$A,"&lt;="&amp;L$28)+sumifs('000'!$D:$D,'000'!$B:$B,$D54,'000'!$A:$A,"&gt;="&amp;L$27,'000'!$A:$A,"&lt;="&amp;L$28)+sumifs('500'!$D:$D,'500'!$B:$B,$D54,'500'!$A:$A,"&gt;="&amp;L$27,'500'!$A:$A,"&lt;="&amp;L$28)+sumifs('300'!$D:$D,'300'!$B:$B,$D54,'300'!$A:$A,"&gt;="&amp;L$27,'300'!$A:$A,"&lt;="&amp;L$28)+sumifs('600.VPA'!$D:$D,'600.VPA'!$B:$B,$D54,'600.VPA'!$A:$A,"&gt;="&amp;L$27,'600.VPA'!$A:$A,"&lt;="&amp;L$28)</f>
        <v>0</v>
      </c>
      <c r="M54" s="114">
        <f>sumifs(Boss!$D:$D,Boss!$B:$B,$D54,Boss!$A:$A,"&gt;="&amp;M$27,Boss!$A:$A,"&lt;="&amp;M$28)+sumifs(VPA.Director!$D:$D,VPA.Director!$B:$B,$D54,VPA.Director!$A:$A,"&gt;="&amp;M$27,VPA.Director!$A:$A,"&lt;="&amp;M$28)+sumifs(ADC.Director!$D:$D,ADC.Director!$B:$B,$D54,ADC.Director!$A:$A,"&gt;="&amp;M$27,ADC.Director!$A:$A,"&lt;="&amp;M$28)+sumifs('000'!$D:$D,'000'!$B:$B,$D54,'000'!$A:$A,"&gt;="&amp;M$27,'000'!$A:$A,"&lt;="&amp;M$28)+sumifs('500'!$D:$D,'500'!$B:$B,$D54,'500'!$A:$A,"&gt;="&amp;M$27,'500'!$A:$A,"&lt;="&amp;M$28)+sumifs('300'!$D:$D,'300'!$B:$B,$D54,'300'!$A:$A,"&gt;="&amp;M$27,'300'!$A:$A,"&lt;="&amp;M$28)+sumifs('600.VPA'!$D:$D,'600.VPA'!$B:$B,$D54,'600.VPA'!$A:$A,"&gt;="&amp;M$27,'600.VPA'!$A:$A,"&lt;="&amp;M$28)</f>
        <v>0</v>
      </c>
      <c r="N54" s="114">
        <f>sumifs(Boss!$D:$D,Boss!$B:$B,$D54,Boss!$A:$A,"&gt;="&amp;N$27,Boss!$A:$A,"&lt;="&amp;N$28)+sumifs(VPA.Director!$D:$D,VPA.Director!$B:$B,$D54,VPA.Director!$A:$A,"&gt;="&amp;N$27,VPA.Director!$A:$A,"&lt;="&amp;N$28)+sumifs(ADC.Director!$D:$D,ADC.Director!$B:$B,$D54,ADC.Director!$A:$A,"&gt;="&amp;N$27,ADC.Director!$A:$A,"&lt;="&amp;N$28)+sumifs('000'!$D:$D,'000'!$B:$B,$D54,'000'!$A:$A,"&gt;="&amp;N$27,'000'!$A:$A,"&lt;="&amp;N$28)+sumifs('500'!$D:$D,'500'!$B:$B,$D54,'500'!$A:$A,"&gt;="&amp;N$27,'500'!$A:$A,"&lt;="&amp;N$28)+sumifs('300'!$D:$D,'300'!$B:$B,$D54,'300'!$A:$A,"&gt;="&amp;N$27,'300'!$A:$A,"&lt;="&amp;N$28)+sumifs('600.VPA'!$D:$D,'600.VPA'!$B:$B,$D54,'600.VPA'!$A:$A,"&gt;="&amp;N$27,'600.VPA'!$A:$A,"&lt;="&amp;N$28)</f>
        <v>0</v>
      </c>
      <c r="O54" s="114">
        <f>sumifs(Boss!$D:$D,Boss!$B:$B,$D54,Boss!$A:$A,"&gt;="&amp;O$27,Boss!$A:$A,"&lt;="&amp;O$28)+sumifs(VPA.Director!$D:$D,VPA.Director!$B:$B,$D54,VPA.Director!$A:$A,"&gt;="&amp;O$27,VPA.Director!$A:$A,"&lt;="&amp;O$28)+sumifs(ADC.Director!$D:$D,ADC.Director!$B:$B,$D54,ADC.Director!$A:$A,"&gt;="&amp;O$27,ADC.Director!$A:$A,"&lt;="&amp;O$28)+sumifs('000'!$D:$D,'000'!$B:$B,$D54,'000'!$A:$A,"&gt;="&amp;O$27,'000'!$A:$A,"&lt;="&amp;O$28)+sumifs('500'!$D:$D,'500'!$B:$B,$D54,'500'!$A:$A,"&gt;="&amp;O$27,'500'!$A:$A,"&lt;="&amp;O$28)+sumifs('300'!$D:$D,'300'!$B:$B,$D54,'300'!$A:$A,"&gt;="&amp;O$27,'300'!$A:$A,"&lt;="&amp;O$28)+sumifs('600.VPA'!$D:$D,'600.VPA'!$B:$B,$D54,'600.VPA'!$A:$A,"&gt;="&amp;O$27,'600.VPA'!$A:$A,"&lt;="&amp;O$28)</f>
        <v>0</v>
      </c>
      <c r="P54" s="114">
        <f>sumifs(Boss!$D:$D,Boss!$B:$B,$D54,Boss!$A:$A,"&gt;="&amp;P$27,Boss!$A:$A,"&lt;="&amp;P$28)+sumifs(VPA.Director!$D:$D,VPA.Director!$B:$B,$D54,VPA.Director!$A:$A,"&gt;="&amp;P$27,VPA.Director!$A:$A,"&lt;="&amp;P$28)+sumifs(ADC.Director!$D:$D,ADC.Director!$B:$B,$D54,ADC.Director!$A:$A,"&gt;="&amp;P$27,ADC.Director!$A:$A,"&lt;="&amp;P$28)+sumifs('000'!$D:$D,'000'!$B:$B,$D54,'000'!$A:$A,"&gt;="&amp;P$27,'000'!$A:$A,"&lt;="&amp;P$28)+sumifs('500'!$D:$D,'500'!$B:$B,$D54,'500'!$A:$A,"&gt;="&amp;P$27,'500'!$A:$A,"&lt;="&amp;P$28)+sumifs('300'!$D:$D,'300'!$B:$B,$D54,'300'!$A:$A,"&gt;="&amp;P$27,'300'!$A:$A,"&lt;="&amp;P$28)+sumifs('600.VPA'!$D:$D,'600.VPA'!$B:$B,$D54,'600.VPA'!$A:$A,"&gt;="&amp;P$27,'600.VPA'!$A:$A,"&lt;="&amp;P$28)</f>
        <v>0</v>
      </c>
      <c r="Q54" s="114">
        <f>sumifs(Boss!$D:$D,Boss!$B:$B,$D54,Boss!$A:$A,"&gt;="&amp;Q$27,Boss!$A:$A,"&lt;="&amp;Q$28)+sumifs(VPA.Director!$D:$D,VPA.Director!$B:$B,$D54,VPA.Director!$A:$A,"&gt;="&amp;Q$27,VPA.Director!$A:$A,"&lt;="&amp;Q$28)+sumifs(ADC.Director!$D:$D,ADC.Director!$B:$B,$D54,ADC.Director!$A:$A,"&gt;="&amp;Q$27,ADC.Director!$A:$A,"&lt;="&amp;Q$28)+sumifs('000'!$D:$D,'000'!$B:$B,$D54,'000'!$A:$A,"&gt;="&amp;Q$27,'000'!$A:$A,"&lt;="&amp;Q$28)+sumifs('500'!$D:$D,'500'!$B:$B,$D54,'500'!$A:$A,"&gt;="&amp;Q$27,'500'!$A:$A,"&lt;="&amp;Q$28)+sumifs('300'!$D:$D,'300'!$B:$B,$D54,'300'!$A:$A,"&gt;="&amp;Q$27,'300'!$A:$A,"&lt;="&amp;Q$28)+sumifs('600.VPA'!$D:$D,'600.VPA'!$B:$B,$D54,'600.VPA'!$A:$A,"&gt;="&amp;Q$27,'600.VPA'!$A:$A,"&lt;="&amp;Q$28)</f>
        <v>0</v>
      </c>
      <c r="R54" s="114">
        <f>sumifs(Boss!$D:$D,Boss!$B:$B,$D54,Boss!$A:$A,"&gt;="&amp;R$27,Boss!$A:$A,"&lt;="&amp;R$28)+sumifs(VPA.Director!$D:$D,VPA.Director!$B:$B,$D54,VPA.Director!$A:$A,"&gt;="&amp;R$27,VPA.Director!$A:$A,"&lt;="&amp;R$28)+sumifs(ADC.Director!$D:$D,ADC.Director!$B:$B,$D54,ADC.Director!$A:$A,"&gt;="&amp;R$27,ADC.Director!$A:$A,"&lt;="&amp;R$28)+sumifs('000'!$D:$D,'000'!$B:$B,$D54,'000'!$A:$A,"&gt;="&amp;R$27,'000'!$A:$A,"&lt;="&amp;R$28)+sumifs('500'!$D:$D,'500'!$B:$B,$D54,'500'!$A:$A,"&gt;="&amp;R$27,'500'!$A:$A,"&lt;="&amp;R$28)+sumifs('300'!$D:$D,'300'!$B:$B,$D54,'300'!$A:$A,"&gt;="&amp;R$27,'300'!$A:$A,"&lt;="&amp;R$28)+sumifs('600.VPA'!$D:$D,'600.VPA'!$B:$B,$D54,'600.VPA'!$A:$A,"&gt;="&amp;R$27,'600.VPA'!$A:$A,"&lt;="&amp;R$28)</f>
        <v>0</v>
      </c>
      <c r="S54" s="114">
        <f>sumifs(Boss!$D:$D,Boss!$B:$B,$D54,Boss!$A:$A,"&gt;="&amp;S$27,Boss!$A:$A,"&lt;="&amp;S$28)+sumifs(VPA.Director!$D:$D,VPA.Director!$B:$B,$D54,VPA.Director!$A:$A,"&gt;="&amp;S$27,VPA.Director!$A:$A,"&lt;="&amp;S$28)+sumifs(ADC.Director!$D:$D,ADC.Director!$B:$B,$D54,ADC.Director!$A:$A,"&gt;="&amp;S$27,ADC.Director!$A:$A,"&lt;="&amp;S$28)+sumifs('000'!$D:$D,'000'!$B:$B,$D54,'000'!$A:$A,"&gt;="&amp;S$27,'000'!$A:$A,"&lt;="&amp;S$28)+sumifs('500'!$D:$D,'500'!$B:$B,$D54,'500'!$A:$A,"&gt;="&amp;S$27,'500'!$A:$A,"&lt;="&amp;S$28)+sumifs('300'!$D:$D,'300'!$B:$B,$D54,'300'!$A:$A,"&gt;="&amp;S$27,'300'!$A:$A,"&lt;="&amp;S$28)+sumifs('600.VPA'!$D:$D,'600.VPA'!$B:$B,$D54,'600.VPA'!$A:$A,"&gt;="&amp;S$27,'600.VPA'!$A:$A,"&lt;="&amp;S$28)</f>
        <v>0</v>
      </c>
      <c r="T54" s="114">
        <f>sumifs(Boss!$D:$D,Boss!$B:$B,$D54,Boss!$A:$A,"&gt;="&amp;T$27,Boss!$A:$A,"&lt;="&amp;T$28)+sumifs(VPA.Director!$D:$D,VPA.Director!$B:$B,$D54,VPA.Director!$A:$A,"&gt;="&amp;T$27,VPA.Director!$A:$A,"&lt;="&amp;T$28)+sumifs(ADC.Director!$D:$D,ADC.Director!$B:$B,$D54,ADC.Director!$A:$A,"&gt;="&amp;T$27,ADC.Director!$A:$A,"&lt;="&amp;T$28)+sumifs('000'!$D:$D,'000'!$B:$B,$D54,'000'!$A:$A,"&gt;="&amp;T$27,'000'!$A:$A,"&lt;="&amp;T$28)+sumifs('500'!$D:$D,'500'!$B:$B,$D54,'500'!$A:$A,"&gt;="&amp;T$27,'500'!$A:$A,"&lt;="&amp;T$28)+sumifs('300'!$D:$D,'300'!$B:$B,$D54,'300'!$A:$A,"&gt;="&amp;T$27,'300'!$A:$A,"&lt;="&amp;T$28)+sumifs('600.VPA'!$D:$D,'600.VPA'!$B:$B,$D54,'600.VPA'!$A:$A,"&gt;="&amp;T$27,'600.VPA'!$A:$A,"&lt;="&amp;T$28)</f>
        <v>0</v>
      </c>
      <c r="U54" s="86"/>
      <c r="V54" s="115">
        <f t="shared" si="1"/>
        <v>0</v>
      </c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7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</row>
    <row r="55" hidden="1">
      <c r="A55" s="86"/>
      <c r="B55" s="100"/>
      <c r="D55" s="90" t="s">
        <v>126</v>
      </c>
      <c r="E55" s="113" t="s">
        <v>30</v>
      </c>
      <c r="F55" s="90" t="s">
        <v>127</v>
      </c>
      <c r="G55" s="90" t="s">
        <v>128</v>
      </c>
      <c r="H55" s="90" t="s">
        <v>129</v>
      </c>
      <c r="I55" s="114">
        <f>sumifs(Boss!$D:$D,Boss!$B:$B,$D55,Boss!$A:$A,"&gt;="&amp;I$27,Boss!$A:$A,"&lt;="&amp;I$28)+sumifs(VPA.Director!$D:$D,VPA.Director!$B:$B,$D55,VPA.Director!$A:$A,"&gt;="&amp;I$27,VPA.Director!$A:$A,"&lt;="&amp;I$28)+sumifs(ADC.Director!$D:$D,ADC.Director!$B:$B,$D55,ADC.Director!$A:$A,"&gt;="&amp;I$27,ADC.Director!$A:$A,"&lt;="&amp;I$28)+sumifs('000'!$D:$D,'000'!$B:$B,$D55,'000'!$A:$A,"&gt;="&amp;I$27,'000'!$A:$A,"&lt;="&amp;I$28)+sumifs('500'!$D:$D,'500'!$B:$B,$D55,'500'!$A:$A,"&gt;="&amp;I$27,'500'!$A:$A,"&lt;="&amp;I$28)+sumifs('300'!$D:$D,'300'!$B:$B,$D55,'300'!$A:$A,"&gt;="&amp;I$27,'300'!$A:$A,"&lt;="&amp;I$28)+sumifs('600.VPA'!$D:$D,'600.VPA'!$B:$B,$D55,'600.VPA'!$A:$A,"&gt;="&amp;I$27,'600.VPA'!$A:$A,"&lt;="&amp;I$28)</f>
        <v>0</v>
      </c>
      <c r="J55" s="114">
        <f>sumifs(Boss!$D:$D,Boss!$B:$B,$D55,Boss!$A:$A,"&gt;="&amp;J$27,Boss!$A:$A,"&lt;="&amp;J$28)+sumifs(VPA.Director!$D:$D,VPA.Director!$B:$B,$D55,VPA.Director!$A:$A,"&gt;="&amp;J$27,VPA.Director!$A:$A,"&lt;="&amp;J$28)+sumifs(ADC.Director!$D:$D,ADC.Director!$B:$B,$D55,ADC.Director!$A:$A,"&gt;="&amp;J$27,ADC.Director!$A:$A,"&lt;="&amp;J$28)+sumifs('000'!$D:$D,'000'!$B:$B,$D55,'000'!$A:$A,"&gt;="&amp;J$27,'000'!$A:$A,"&lt;="&amp;J$28)+sumifs('500'!$D:$D,'500'!$B:$B,$D55,'500'!$A:$A,"&gt;="&amp;J$27,'500'!$A:$A,"&lt;="&amp;J$28)+sumifs('300'!$D:$D,'300'!$B:$B,$D55,'300'!$A:$A,"&gt;="&amp;J$27,'300'!$A:$A,"&lt;="&amp;J$28)+sumifs('600.VPA'!$D:$D,'600.VPA'!$B:$B,$D55,'600.VPA'!$A:$A,"&gt;="&amp;J$27,'600.VPA'!$A:$A,"&lt;="&amp;J$28)</f>
        <v>0</v>
      </c>
      <c r="K55" s="114">
        <f>sumifs(Boss!$D:$D,Boss!$B:$B,$D55,Boss!$A:$A,"&gt;="&amp;K$27,Boss!$A:$A,"&lt;="&amp;K$28)+sumifs(VPA.Director!$D:$D,VPA.Director!$B:$B,$D55,VPA.Director!$A:$A,"&gt;="&amp;K$27,VPA.Director!$A:$A,"&lt;="&amp;K$28)+sumifs(ADC.Director!$D:$D,ADC.Director!$B:$B,$D55,ADC.Director!$A:$A,"&gt;="&amp;K$27,ADC.Director!$A:$A,"&lt;="&amp;K$28)+sumifs('000'!$D:$D,'000'!$B:$B,$D55,'000'!$A:$A,"&gt;="&amp;K$27,'000'!$A:$A,"&lt;="&amp;K$28)+sumifs('500'!$D:$D,'500'!$B:$B,$D55,'500'!$A:$A,"&gt;="&amp;K$27,'500'!$A:$A,"&lt;="&amp;K$28)+sumifs('300'!$D:$D,'300'!$B:$B,$D55,'300'!$A:$A,"&gt;="&amp;K$27,'300'!$A:$A,"&lt;="&amp;K$28)+sumifs('600.VPA'!$D:$D,'600.VPA'!$B:$B,$D55,'600.VPA'!$A:$A,"&gt;="&amp;K$27,'600.VPA'!$A:$A,"&lt;="&amp;K$28)</f>
        <v>0</v>
      </c>
      <c r="L55" s="114">
        <f>sumifs(Boss!$D:$D,Boss!$B:$B,$D55,Boss!$A:$A,"&gt;="&amp;L$27,Boss!$A:$A,"&lt;="&amp;L$28)+sumifs(VPA.Director!$D:$D,VPA.Director!$B:$B,$D55,VPA.Director!$A:$A,"&gt;="&amp;L$27,VPA.Director!$A:$A,"&lt;="&amp;L$28)+sumifs(ADC.Director!$D:$D,ADC.Director!$B:$B,$D55,ADC.Director!$A:$A,"&gt;="&amp;L$27,ADC.Director!$A:$A,"&lt;="&amp;L$28)+sumifs('000'!$D:$D,'000'!$B:$B,$D55,'000'!$A:$A,"&gt;="&amp;L$27,'000'!$A:$A,"&lt;="&amp;L$28)+sumifs('500'!$D:$D,'500'!$B:$B,$D55,'500'!$A:$A,"&gt;="&amp;L$27,'500'!$A:$A,"&lt;="&amp;L$28)+sumifs('300'!$D:$D,'300'!$B:$B,$D55,'300'!$A:$A,"&gt;="&amp;L$27,'300'!$A:$A,"&lt;="&amp;L$28)+sumifs('600.VPA'!$D:$D,'600.VPA'!$B:$B,$D55,'600.VPA'!$A:$A,"&gt;="&amp;L$27,'600.VPA'!$A:$A,"&lt;="&amp;L$28)</f>
        <v>0</v>
      </c>
      <c r="M55" s="114">
        <f>sumifs(Boss!$D:$D,Boss!$B:$B,$D55,Boss!$A:$A,"&gt;="&amp;M$27,Boss!$A:$A,"&lt;="&amp;M$28)+sumifs(VPA.Director!$D:$D,VPA.Director!$B:$B,$D55,VPA.Director!$A:$A,"&gt;="&amp;M$27,VPA.Director!$A:$A,"&lt;="&amp;M$28)+sumifs(ADC.Director!$D:$D,ADC.Director!$B:$B,$D55,ADC.Director!$A:$A,"&gt;="&amp;M$27,ADC.Director!$A:$A,"&lt;="&amp;M$28)+sumifs('000'!$D:$D,'000'!$B:$B,$D55,'000'!$A:$A,"&gt;="&amp;M$27,'000'!$A:$A,"&lt;="&amp;M$28)+sumifs('500'!$D:$D,'500'!$B:$B,$D55,'500'!$A:$A,"&gt;="&amp;M$27,'500'!$A:$A,"&lt;="&amp;M$28)+sumifs('300'!$D:$D,'300'!$B:$B,$D55,'300'!$A:$A,"&gt;="&amp;M$27,'300'!$A:$A,"&lt;="&amp;M$28)+sumifs('600.VPA'!$D:$D,'600.VPA'!$B:$B,$D55,'600.VPA'!$A:$A,"&gt;="&amp;M$27,'600.VPA'!$A:$A,"&lt;="&amp;M$28)</f>
        <v>0</v>
      </c>
      <c r="N55" s="114">
        <f>sumifs(Boss!$D:$D,Boss!$B:$B,$D55,Boss!$A:$A,"&gt;="&amp;N$27,Boss!$A:$A,"&lt;="&amp;N$28)+sumifs(VPA.Director!$D:$D,VPA.Director!$B:$B,$D55,VPA.Director!$A:$A,"&gt;="&amp;N$27,VPA.Director!$A:$A,"&lt;="&amp;N$28)+sumifs(ADC.Director!$D:$D,ADC.Director!$B:$B,$D55,ADC.Director!$A:$A,"&gt;="&amp;N$27,ADC.Director!$A:$A,"&lt;="&amp;N$28)+sumifs('000'!$D:$D,'000'!$B:$B,$D55,'000'!$A:$A,"&gt;="&amp;N$27,'000'!$A:$A,"&lt;="&amp;N$28)+sumifs('500'!$D:$D,'500'!$B:$B,$D55,'500'!$A:$A,"&gt;="&amp;N$27,'500'!$A:$A,"&lt;="&amp;N$28)+sumifs('300'!$D:$D,'300'!$B:$B,$D55,'300'!$A:$A,"&gt;="&amp;N$27,'300'!$A:$A,"&lt;="&amp;N$28)+sumifs('600.VPA'!$D:$D,'600.VPA'!$B:$B,$D55,'600.VPA'!$A:$A,"&gt;="&amp;N$27,'600.VPA'!$A:$A,"&lt;="&amp;N$28)</f>
        <v>0</v>
      </c>
      <c r="O55" s="114">
        <f>sumifs(Boss!$D:$D,Boss!$B:$B,$D55,Boss!$A:$A,"&gt;="&amp;O$27,Boss!$A:$A,"&lt;="&amp;O$28)+sumifs(VPA.Director!$D:$D,VPA.Director!$B:$B,$D55,VPA.Director!$A:$A,"&gt;="&amp;O$27,VPA.Director!$A:$A,"&lt;="&amp;O$28)+sumifs(ADC.Director!$D:$D,ADC.Director!$B:$B,$D55,ADC.Director!$A:$A,"&gt;="&amp;O$27,ADC.Director!$A:$A,"&lt;="&amp;O$28)+sumifs('000'!$D:$D,'000'!$B:$B,$D55,'000'!$A:$A,"&gt;="&amp;O$27,'000'!$A:$A,"&lt;="&amp;O$28)+sumifs('500'!$D:$D,'500'!$B:$B,$D55,'500'!$A:$A,"&gt;="&amp;O$27,'500'!$A:$A,"&lt;="&amp;O$28)+sumifs('300'!$D:$D,'300'!$B:$B,$D55,'300'!$A:$A,"&gt;="&amp;O$27,'300'!$A:$A,"&lt;="&amp;O$28)+sumifs('600.VPA'!$D:$D,'600.VPA'!$B:$B,$D55,'600.VPA'!$A:$A,"&gt;="&amp;O$27,'600.VPA'!$A:$A,"&lt;="&amp;O$28)</f>
        <v>0</v>
      </c>
      <c r="P55" s="114">
        <f>sumifs(Boss!$D:$D,Boss!$B:$B,$D55,Boss!$A:$A,"&gt;="&amp;P$27,Boss!$A:$A,"&lt;="&amp;P$28)+sumifs(VPA.Director!$D:$D,VPA.Director!$B:$B,$D55,VPA.Director!$A:$A,"&gt;="&amp;P$27,VPA.Director!$A:$A,"&lt;="&amp;P$28)+sumifs(ADC.Director!$D:$D,ADC.Director!$B:$B,$D55,ADC.Director!$A:$A,"&gt;="&amp;P$27,ADC.Director!$A:$A,"&lt;="&amp;P$28)+sumifs('000'!$D:$D,'000'!$B:$B,$D55,'000'!$A:$A,"&gt;="&amp;P$27,'000'!$A:$A,"&lt;="&amp;P$28)+sumifs('500'!$D:$D,'500'!$B:$B,$D55,'500'!$A:$A,"&gt;="&amp;P$27,'500'!$A:$A,"&lt;="&amp;P$28)+sumifs('300'!$D:$D,'300'!$B:$B,$D55,'300'!$A:$A,"&gt;="&amp;P$27,'300'!$A:$A,"&lt;="&amp;P$28)+sumifs('600.VPA'!$D:$D,'600.VPA'!$B:$B,$D55,'600.VPA'!$A:$A,"&gt;="&amp;P$27,'600.VPA'!$A:$A,"&lt;="&amp;P$28)</f>
        <v>0</v>
      </c>
      <c r="Q55" s="114">
        <f>sumifs(Boss!$D:$D,Boss!$B:$B,$D55,Boss!$A:$A,"&gt;="&amp;Q$27,Boss!$A:$A,"&lt;="&amp;Q$28)+sumifs(VPA.Director!$D:$D,VPA.Director!$B:$B,$D55,VPA.Director!$A:$A,"&gt;="&amp;Q$27,VPA.Director!$A:$A,"&lt;="&amp;Q$28)+sumifs(ADC.Director!$D:$D,ADC.Director!$B:$B,$D55,ADC.Director!$A:$A,"&gt;="&amp;Q$27,ADC.Director!$A:$A,"&lt;="&amp;Q$28)+sumifs('000'!$D:$D,'000'!$B:$B,$D55,'000'!$A:$A,"&gt;="&amp;Q$27,'000'!$A:$A,"&lt;="&amp;Q$28)+sumifs('500'!$D:$D,'500'!$B:$B,$D55,'500'!$A:$A,"&gt;="&amp;Q$27,'500'!$A:$A,"&lt;="&amp;Q$28)+sumifs('300'!$D:$D,'300'!$B:$B,$D55,'300'!$A:$A,"&gt;="&amp;Q$27,'300'!$A:$A,"&lt;="&amp;Q$28)+sumifs('600.VPA'!$D:$D,'600.VPA'!$B:$B,$D55,'600.VPA'!$A:$A,"&gt;="&amp;Q$27,'600.VPA'!$A:$A,"&lt;="&amp;Q$28)</f>
        <v>0</v>
      </c>
      <c r="R55" s="114">
        <f>sumifs(Boss!$D:$D,Boss!$B:$B,$D55,Boss!$A:$A,"&gt;="&amp;R$27,Boss!$A:$A,"&lt;="&amp;R$28)+sumifs(VPA.Director!$D:$D,VPA.Director!$B:$B,$D55,VPA.Director!$A:$A,"&gt;="&amp;R$27,VPA.Director!$A:$A,"&lt;="&amp;R$28)+sumifs(ADC.Director!$D:$D,ADC.Director!$B:$B,$D55,ADC.Director!$A:$A,"&gt;="&amp;R$27,ADC.Director!$A:$A,"&lt;="&amp;R$28)+sumifs('000'!$D:$D,'000'!$B:$B,$D55,'000'!$A:$A,"&gt;="&amp;R$27,'000'!$A:$A,"&lt;="&amp;R$28)+sumifs('500'!$D:$D,'500'!$B:$B,$D55,'500'!$A:$A,"&gt;="&amp;R$27,'500'!$A:$A,"&lt;="&amp;R$28)+sumifs('300'!$D:$D,'300'!$B:$B,$D55,'300'!$A:$A,"&gt;="&amp;R$27,'300'!$A:$A,"&lt;="&amp;R$28)+sumifs('600.VPA'!$D:$D,'600.VPA'!$B:$B,$D55,'600.VPA'!$A:$A,"&gt;="&amp;R$27,'600.VPA'!$A:$A,"&lt;="&amp;R$28)</f>
        <v>0</v>
      </c>
      <c r="S55" s="114">
        <f>sumifs(Boss!$D:$D,Boss!$B:$B,$D55,Boss!$A:$A,"&gt;="&amp;S$27,Boss!$A:$A,"&lt;="&amp;S$28)+sumifs(VPA.Director!$D:$D,VPA.Director!$B:$B,$D55,VPA.Director!$A:$A,"&gt;="&amp;S$27,VPA.Director!$A:$A,"&lt;="&amp;S$28)+sumifs(ADC.Director!$D:$D,ADC.Director!$B:$B,$D55,ADC.Director!$A:$A,"&gt;="&amp;S$27,ADC.Director!$A:$A,"&lt;="&amp;S$28)+sumifs('000'!$D:$D,'000'!$B:$B,$D55,'000'!$A:$A,"&gt;="&amp;S$27,'000'!$A:$A,"&lt;="&amp;S$28)+sumifs('500'!$D:$D,'500'!$B:$B,$D55,'500'!$A:$A,"&gt;="&amp;S$27,'500'!$A:$A,"&lt;="&amp;S$28)+sumifs('300'!$D:$D,'300'!$B:$B,$D55,'300'!$A:$A,"&gt;="&amp;S$27,'300'!$A:$A,"&lt;="&amp;S$28)+sumifs('600.VPA'!$D:$D,'600.VPA'!$B:$B,$D55,'600.VPA'!$A:$A,"&gt;="&amp;S$27,'600.VPA'!$A:$A,"&lt;="&amp;S$28)</f>
        <v>0</v>
      </c>
      <c r="T55" s="114">
        <f>sumifs(Boss!$D:$D,Boss!$B:$B,$D55,Boss!$A:$A,"&gt;="&amp;T$27,Boss!$A:$A,"&lt;="&amp;T$28)+sumifs(VPA.Director!$D:$D,VPA.Director!$B:$B,$D55,VPA.Director!$A:$A,"&gt;="&amp;T$27,VPA.Director!$A:$A,"&lt;="&amp;T$28)+sumifs(ADC.Director!$D:$D,ADC.Director!$B:$B,$D55,ADC.Director!$A:$A,"&gt;="&amp;T$27,ADC.Director!$A:$A,"&lt;="&amp;T$28)+sumifs('000'!$D:$D,'000'!$B:$B,$D55,'000'!$A:$A,"&gt;="&amp;T$27,'000'!$A:$A,"&lt;="&amp;T$28)+sumifs('500'!$D:$D,'500'!$B:$B,$D55,'500'!$A:$A,"&gt;="&amp;T$27,'500'!$A:$A,"&lt;="&amp;T$28)+sumifs('300'!$D:$D,'300'!$B:$B,$D55,'300'!$A:$A,"&gt;="&amp;T$27,'300'!$A:$A,"&lt;="&amp;T$28)+sumifs('600.VPA'!$D:$D,'600.VPA'!$B:$B,$D55,'600.VPA'!$A:$A,"&gt;="&amp;T$27,'600.VPA'!$A:$A,"&lt;="&amp;T$28)</f>
        <v>0</v>
      </c>
      <c r="U55" s="86"/>
      <c r="V55" s="115">
        <f t="shared" si="1"/>
        <v>0</v>
      </c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7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</row>
    <row r="56" hidden="1">
      <c r="A56" s="86"/>
      <c r="B56" s="100"/>
      <c r="C56" s="99"/>
      <c r="D56" s="92"/>
      <c r="E56" s="92"/>
      <c r="F56" s="92"/>
      <c r="G56" s="92"/>
      <c r="H56" s="92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7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</row>
    <row r="57" ht="39.75" hidden="1" customHeight="1">
      <c r="A57" s="86"/>
      <c r="B57" s="87"/>
      <c r="C57" s="92"/>
      <c r="J57" s="86"/>
      <c r="K57" s="86"/>
      <c r="L57" s="86"/>
      <c r="M57" s="86"/>
      <c r="N57" s="89"/>
      <c r="O57" s="89"/>
      <c r="P57" s="89"/>
      <c r="Q57" s="89"/>
      <c r="R57" s="89"/>
      <c r="S57" s="89"/>
      <c r="T57" s="89"/>
      <c r="U57" s="86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7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</row>
    <row r="58" ht="18.0" hidden="1" customHeight="1">
      <c r="A58" s="86"/>
      <c r="B58" s="116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6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</row>
    <row r="59" hidden="1">
      <c r="A59" s="86"/>
      <c r="B59" s="118"/>
      <c r="C59" s="119" t="s">
        <v>130</v>
      </c>
      <c r="AI59" s="120"/>
      <c r="AJ59" s="118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</row>
    <row r="60" hidden="1">
      <c r="A60" s="86"/>
      <c r="B60" s="87"/>
      <c r="C60" s="121" t="s">
        <v>131</v>
      </c>
      <c r="I60" s="95">
        <f>date(AH62,1,1)</f>
        <v>46023</v>
      </c>
      <c r="J60" s="95">
        <f>date(AH62,1,1)</f>
        <v>46023</v>
      </c>
      <c r="K60" s="95">
        <f>date(AH62,2,1)</f>
        <v>46054</v>
      </c>
      <c r="L60" s="95">
        <f>date(AH62,2,1)</f>
        <v>46054</v>
      </c>
      <c r="M60" s="95">
        <f>date(AH62,3,1)</f>
        <v>46082</v>
      </c>
      <c r="N60" s="95">
        <f>date(AH62,3,1)</f>
        <v>46082</v>
      </c>
      <c r="O60" s="95">
        <f>date(AH62,4,1)</f>
        <v>46113</v>
      </c>
      <c r="P60" s="95">
        <f>date(AH62,4,1)</f>
        <v>46113</v>
      </c>
      <c r="Q60" s="95">
        <f>date(AH62,5,1)</f>
        <v>46143</v>
      </c>
      <c r="R60" s="95">
        <f>date(AH62,5,1)</f>
        <v>46143</v>
      </c>
      <c r="S60" s="95">
        <f>date(AH62,6,1)</f>
        <v>46174</v>
      </c>
      <c r="T60" s="95">
        <f>date($AH$62,6,1)</f>
        <v>46174</v>
      </c>
      <c r="U60" s="89"/>
      <c r="V60" s="95">
        <f>date(AH62,7,1)</f>
        <v>46204</v>
      </c>
      <c r="W60" s="95">
        <f>date($AH$62,7,1)</f>
        <v>46204</v>
      </c>
      <c r="X60" s="95">
        <f>date(AH62,8,1)</f>
        <v>46235</v>
      </c>
      <c r="Y60" s="95">
        <f>date($AH$62,8,1)</f>
        <v>46235</v>
      </c>
      <c r="Z60" s="95">
        <f>date(AH62,9,1)</f>
        <v>46266</v>
      </c>
      <c r="AA60" s="95">
        <f>date($AH$62,9,1)</f>
        <v>46266</v>
      </c>
      <c r="AB60" s="95">
        <f>date($AH$62,10,1)</f>
        <v>46296</v>
      </c>
      <c r="AC60" s="95">
        <f>date(AH62,10,1)</f>
        <v>46296</v>
      </c>
      <c r="AD60" s="95">
        <f>date(AH62,11,1)</f>
        <v>46327</v>
      </c>
      <c r="AE60" s="95">
        <f>date($AH$62,11,1)</f>
        <v>46327</v>
      </c>
      <c r="AF60" s="95">
        <f>date(AH62,12,1)</f>
        <v>46357</v>
      </c>
      <c r="AG60" s="95">
        <f>date($AH$62,12,1)</f>
        <v>46357</v>
      </c>
      <c r="AH60" s="122"/>
      <c r="AI60" s="122"/>
      <c r="AJ60" s="116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</row>
    <row r="61" hidden="1">
      <c r="A61" s="86"/>
      <c r="B61" s="87"/>
      <c r="C61" s="96"/>
      <c r="D61" s="122"/>
      <c r="E61" s="122"/>
      <c r="G61" s="122"/>
      <c r="H61" s="122"/>
      <c r="I61" s="123">
        <f>date(AH62,2,1)</f>
        <v>46054</v>
      </c>
      <c r="J61" s="98">
        <f>date(AH62,2,1)</f>
        <v>46054</v>
      </c>
      <c r="K61" s="124">
        <f>date(AH62,3,1)</f>
        <v>46082</v>
      </c>
      <c r="L61" s="124">
        <f>date(AH62,3,1)</f>
        <v>46082</v>
      </c>
      <c r="M61" s="98">
        <f>date(AH62,4,1)</f>
        <v>46113</v>
      </c>
      <c r="N61" s="98">
        <f>date(AH62,4,1)</f>
        <v>46113</v>
      </c>
      <c r="O61" s="98">
        <f>date(AH62,5,1)</f>
        <v>46143</v>
      </c>
      <c r="P61" s="98">
        <f>date(AH62,5,1)</f>
        <v>46143</v>
      </c>
      <c r="Q61" s="98">
        <f>date(AH62,6,1)</f>
        <v>46174</v>
      </c>
      <c r="R61" s="98">
        <f>date(AH62,6,1)</f>
        <v>46174</v>
      </c>
      <c r="S61" s="98">
        <f>date(AH62,7,1)</f>
        <v>46204</v>
      </c>
      <c r="T61" s="98">
        <f>date($AH$62,7,1)</f>
        <v>46204</v>
      </c>
      <c r="U61" s="89"/>
      <c r="V61" s="98">
        <f>date(AH62,8,1)</f>
        <v>46235</v>
      </c>
      <c r="W61" s="98">
        <f>date($AH$62,8,1)</f>
        <v>46235</v>
      </c>
      <c r="X61" s="98">
        <f>date(AH62,9,1)</f>
        <v>46266</v>
      </c>
      <c r="Y61" s="98">
        <f>date($AH$62,9,1)</f>
        <v>46266</v>
      </c>
      <c r="Z61" s="98">
        <f>date(AH62,10,1)</f>
        <v>46296</v>
      </c>
      <c r="AA61" s="98">
        <f>date($AH$62,10,1)</f>
        <v>46296</v>
      </c>
      <c r="AB61" s="98">
        <f>date($AH$62,11,1)</f>
        <v>46327</v>
      </c>
      <c r="AC61" s="98">
        <f>date(AH62,11,1)</f>
        <v>46327</v>
      </c>
      <c r="AD61" s="98">
        <f>date(AH62,12,1)</f>
        <v>46357</v>
      </c>
      <c r="AE61" s="98">
        <f>date($AH$62,12,1)</f>
        <v>46357</v>
      </c>
      <c r="AF61" s="98">
        <f>date(AH62+1,1,1)</f>
        <v>46388</v>
      </c>
      <c r="AG61" s="98">
        <f>date($AH$62+1,1,1)</f>
        <v>46388</v>
      </c>
      <c r="AH61" s="122"/>
      <c r="AI61" s="122"/>
      <c r="AJ61" s="116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</row>
    <row r="62">
      <c r="A62" s="125"/>
      <c r="B62" s="126"/>
      <c r="C62" s="127"/>
      <c r="D62" s="128" t="s">
        <v>34</v>
      </c>
      <c r="E62" s="128" t="s">
        <v>35</v>
      </c>
      <c r="F62" s="7"/>
      <c r="G62" s="129"/>
      <c r="H62" s="128" t="s">
        <v>37</v>
      </c>
      <c r="I62" s="130">
        <v>44592.0</v>
      </c>
      <c r="J62" s="131"/>
      <c r="K62" s="130">
        <v>44620.0</v>
      </c>
      <c r="L62" s="131"/>
      <c r="M62" s="130">
        <v>44651.0</v>
      </c>
      <c r="N62" s="131"/>
      <c r="O62" s="130">
        <v>44681.0</v>
      </c>
      <c r="P62" s="131"/>
      <c r="Q62" s="130">
        <v>44712.0</v>
      </c>
      <c r="R62" s="131"/>
      <c r="S62" s="130">
        <v>44742.0</v>
      </c>
      <c r="T62" s="131"/>
      <c r="U62" s="132"/>
      <c r="V62" s="130">
        <v>44773.0</v>
      </c>
      <c r="W62" s="131"/>
      <c r="X62" s="130">
        <v>44804.0</v>
      </c>
      <c r="Y62" s="131"/>
      <c r="Z62" s="130">
        <v>44834.0</v>
      </c>
      <c r="AA62" s="131"/>
      <c r="AB62" s="130">
        <v>44865.0</v>
      </c>
      <c r="AC62" s="131"/>
      <c r="AD62" s="130">
        <v>44895.0</v>
      </c>
      <c r="AE62" s="131"/>
      <c r="AF62" s="130">
        <v>44926.0</v>
      </c>
      <c r="AG62" s="131"/>
      <c r="AH62" s="133" t="str">
        <f>right(DashBoard!R2,4)</f>
        <v>2026</v>
      </c>
      <c r="AI62" s="134"/>
      <c r="AJ62" s="131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</row>
    <row r="63">
      <c r="A63" s="86"/>
      <c r="B63" s="135"/>
      <c r="C63" s="136"/>
      <c r="G63" s="137" t="s">
        <v>36</v>
      </c>
      <c r="I63" s="138"/>
      <c r="J63" s="139"/>
      <c r="K63" s="138"/>
      <c r="L63" s="139"/>
      <c r="M63" s="138"/>
      <c r="N63" s="139"/>
      <c r="O63" s="138"/>
      <c r="P63" s="139"/>
      <c r="Q63" s="138"/>
      <c r="R63" s="139"/>
      <c r="S63" s="138"/>
      <c r="T63" s="139"/>
      <c r="U63" s="140"/>
      <c r="V63" s="138"/>
      <c r="W63" s="139"/>
      <c r="X63" s="138"/>
      <c r="Y63" s="139"/>
      <c r="Z63" s="138"/>
      <c r="AA63" s="139"/>
      <c r="AB63" s="138"/>
      <c r="AC63" s="139"/>
      <c r="AD63" s="138"/>
      <c r="AE63" s="139"/>
      <c r="AF63" s="138"/>
      <c r="AG63" s="139"/>
      <c r="AH63" s="141" t="s">
        <v>132</v>
      </c>
      <c r="AI63" s="142" t="s">
        <v>133</v>
      </c>
      <c r="AJ63" s="143" t="s">
        <v>134</v>
      </c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</row>
    <row r="64">
      <c r="A64" s="86"/>
      <c r="B64" s="144"/>
      <c r="C64" s="145" t="s">
        <v>38</v>
      </c>
      <c r="D64" s="146" t="s">
        <v>39</v>
      </c>
      <c r="E64" s="147" t="s">
        <v>3</v>
      </c>
      <c r="F64" s="146" t="s">
        <v>135</v>
      </c>
      <c r="G64" s="146" t="s">
        <v>41</v>
      </c>
      <c r="H64" s="146" t="s">
        <v>42</v>
      </c>
      <c r="I64" s="148">
        <f>sumifs(Boss!$D:$D,Boss!$B:$B,$D64,Boss!$A:$A,"&gt;="&amp;I$60,Boss!$A:$A,"&lt;="&amp;I$61,Boss!$D:$D,"&lt;"&amp;0)+sumifs(VPA.Director!$D:$D,VPA.Director!$B:$B,$D64,VPA.Director!$A:$A,"&gt;="&amp;I$60,VPA.Director!$A:$A,"&lt;="&amp;I$61,VPA.Director!$D:$D,"&lt;"&amp;0)+sumifs(ADC.Director!$D:$D,ADC.Director!$B:$B,$D64,ADC.Director!$A:$A,"&gt;="&amp;I$60,ADC.Director!$A:$A,"&lt;="&amp;I$61,ADC.Director!$D:$D,"&lt;"&amp;0)+sumifs('000'!$D:$D,'000'!$B:$B,$D64,'000'!$A:$A,"&gt;="&amp;I$60,'000'!$A:$A,"&lt;="&amp;I$61,'000'!$D:$D,"&lt;"&amp;0)+sumifs('500'!$D:$D,'500'!$B:$B,$D64,'500'!$A:$A,"&gt;="&amp;I$60,'500'!$A:$A,"&lt;="&amp;I$61,'500'!$D:$D,"&lt;"&amp;0)+sumifs('300'!$D:$D,'300'!$B:$B,$D64,'300'!$A:$A,"&gt;="&amp;I$60,'300'!$A:$A,"&lt;="&amp;I$61,'300'!$D:$D,"&lt;"&amp;0)+sumifs('600.VPA'!$D:$D,'600.VPA'!$B:$B,$D64,'600.VPA'!$A:$A,"&gt;="&amp;I$60,'600.VPA'!$A:$A,"&lt;="&amp;I$61,'600.VPA'!$D:$D,"&lt;"&amp;0)</f>
        <v>0</v>
      </c>
      <c r="J64" s="149">
        <f>sumifs(Boss!$D:$D,Boss!$B:$B,$D64,Boss!$A:$A,"&gt;="&amp;J$60,Boss!$A:$A,"&lt;="&amp;J$61,Boss!$D:$D,"&gt;"&amp;0)+sumifs(VPA.Director!$D:$D,VPA.Director!$B:$B,$D64,VPA.Director!$A:$A,"&gt;="&amp;J$60,VPA.Director!$A:$A,"&lt;="&amp;J$61,VPA.Director!$D:$D,"&gt;"&amp;0)+sumifs(ADC.Director!$D:$D,ADC.Director!$B:$B,$D64,ADC.Director!$A:$A,"&gt;="&amp;J$60,ADC.Director!$A:$A,"&lt;="&amp;J$61,ADC.Director!$D:$D,"&gt;"&amp;0)+sumifs('000'!$D:$D,'000'!$B:$B,$D64,'000'!$A:$A,"&gt;="&amp;J$60,'000'!$A:$A,"&lt;="&amp;J$61,'000'!$D:$D,"&gt;"&amp;0)+sumifs('500'!$D:$D,'500'!$B:$B,$D64,'500'!$A:$A,"&gt;="&amp;J$60,'500'!$A:$A,"&lt;="&amp;J$60,'500'!$D:$D,"&gt;"&amp;0)+sumifs('300'!$D:$D,'300'!$B:$B,$D64,'300'!$A:$A,"&gt;="&amp;J$60,'300'!$A:$A,"&lt;="&amp;J$61,'300'!$D:$D,"&gt;"&amp;0)+sumifs('600.VPA'!$D:$D,'600.VPA'!$B:$B,$D64,'600.VPA'!$A:$A,"&gt;="&amp;J$60,'600.VPA'!$A:$A,"&lt;="&amp;J$61,'600.VPA'!$D:$D,"&gt;"&amp;0)</f>
        <v>0</v>
      </c>
      <c r="K64" s="148">
        <f>sumifs(Boss!$D:$D,Boss!$B:$B,$D64,Boss!$A:$A,"&gt;="&amp;K$60,Boss!$A:$A,"&lt;="&amp;K$61,Boss!$D:$D,"&lt;"&amp;0)+sumifs(VPA.Director!$D:$D,VPA.Director!$B:$B,$D64,VPA.Director!$A:$A,"&gt;="&amp;K$60,VPA.Director!$A:$A,"&lt;="&amp;K$61,VPA.Director!$D:$D,"&lt;"&amp;0)+sumifs(ADC.Director!$D:$D,ADC.Director!$B:$B,$D64,ADC.Director!$A:$A,"&gt;="&amp;K$60,ADC.Director!$A:$A,"&lt;="&amp;K$61,ADC.Director!$D:$D,"&lt;"&amp;0)+sumifs('000'!$D:$D,'000'!$B:$B,$D64,'000'!$A:$A,"&gt;="&amp;K$60,'000'!$A:$A,"&lt;="&amp;K$61,'000'!$D:$D,"&lt;"&amp;0)+sumifs('500'!$D:$D,'500'!$B:$B,$D64,'500'!$A:$A,"&gt;="&amp;K$60,'500'!$A:$A,"&lt;="&amp;K$61,'500'!$D:$D,"&lt;"&amp;0)+sumifs('300'!$D:$D,'300'!$B:$B,$D64,'300'!$A:$A,"&gt;="&amp;K$60,'300'!$A:$A,"&lt;="&amp;K$61,'300'!$D:$D,"&lt;"&amp;0)+sumifs('600.VPA'!$D:$D,'600.VPA'!$B:$B,$D64,'600.VPA'!$A:$A,"&gt;="&amp;K$60,'600.VPA'!$A:$A,"&lt;="&amp;K$61,'600.VPA'!$D:$D,"&lt;"&amp;0)</f>
        <v>0</v>
      </c>
      <c r="L64" s="149">
        <f>sumifs(Boss!$D:$D,Boss!$B:$B,$D64,Boss!$A:$A,"&gt;="&amp;L$60,Boss!$A:$A,"&lt;="&amp;L$61,Boss!$D:$D,"&gt;"&amp;0)+sumifs(VPA.Director!$D:$D,VPA.Director!$B:$B,$D64,VPA.Director!$A:$A,"&gt;="&amp;L$60,VPA.Director!$A:$A,"&lt;="&amp;L$61,VPA.Director!$D:$D,"&gt;"&amp;0)+sumifs(ADC.Director!$D:$D,ADC.Director!$B:$B,$D64,ADC.Director!$A:$A,"&gt;="&amp;L$60,ADC.Director!$A:$A,"&lt;="&amp;L$61,ADC.Director!$D:$D,"&gt;"&amp;0)+sumifs('000'!$D:$D,'000'!$B:$B,$D64,'000'!$A:$A,"&gt;="&amp;L$60,'000'!$A:$A,"&lt;="&amp;L$61,'000'!$D:$D,"&gt;"&amp;0)+sumifs('500'!$D:$D,'500'!$B:$B,$D64,'500'!$A:$A,"&gt;="&amp;L$60,'500'!$A:$A,"&lt;="&amp;L$60,'500'!$D:$D,"&gt;"&amp;0)+sumifs('300'!$D:$D,'300'!$B:$B,$D64,'300'!$A:$A,"&gt;="&amp;L$60,'300'!$A:$A,"&lt;="&amp;L$61,'300'!$D:$D,"&gt;"&amp;0)+sumifs('600.VPA'!$D:$D,'600.VPA'!$B:$B,$D64,'600.VPA'!$A:$A,"&gt;="&amp;L$60,'600.VPA'!$A:$A,"&lt;="&amp;L$61,'600.VPA'!$D:$D,"&gt;"&amp;0)</f>
        <v>0</v>
      </c>
      <c r="M64" s="148">
        <f>sumifs(Boss!$D:$D,Boss!$B:$B,$D64,Boss!$A:$A,"&gt;="&amp;M$60,Boss!$A:$A,"&lt;="&amp;M$61,Boss!$D:$D,"&lt;"&amp;0)+sumifs(VPA.Director!$D:$D,VPA.Director!$B:$B,$D64,VPA.Director!$A:$A,"&gt;="&amp;M$60,VPA.Director!$A:$A,"&lt;="&amp;M$61,VPA.Director!$D:$D,"&lt;"&amp;0)+sumifs(ADC.Director!$D:$D,ADC.Director!$B:$B,$D64,ADC.Director!$A:$A,"&gt;="&amp;M$60,ADC.Director!$A:$A,"&lt;="&amp;M$61,ADC.Director!$D:$D,"&lt;"&amp;0)+sumifs('000'!$D:$D,'000'!$B:$B,$D64,'000'!$A:$A,"&gt;="&amp;M$60,'000'!$A:$A,"&lt;="&amp;M$61,'000'!$D:$D,"&lt;"&amp;0)+sumifs('500'!$D:$D,'500'!$B:$B,$D64,'500'!$A:$A,"&gt;="&amp;M$60,'500'!$A:$A,"&lt;="&amp;M$61,'500'!$D:$D,"&lt;"&amp;0)+sumifs('300'!$D:$D,'300'!$B:$B,$D64,'300'!$A:$A,"&gt;="&amp;M$60,'300'!$A:$A,"&lt;="&amp;M$61,'300'!$D:$D,"&lt;"&amp;0)+sumifs('600.VPA'!$D:$D,'600.VPA'!$B:$B,$D64,'600.VPA'!$A:$A,"&gt;="&amp;M$60,'600.VPA'!$A:$A,"&lt;="&amp;M$61,'600.VPA'!$D:$D,"&lt;"&amp;0)</f>
        <v>0</v>
      </c>
      <c r="N64" s="149">
        <f>sumifs(Boss!$D:$D,Boss!$B:$B,$D64,Boss!$A:$A,"&gt;="&amp;N$60,Boss!$A:$A,"&lt;="&amp;N$61,Boss!$D:$D,"&gt;"&amp;0)+sumifs(VPA.Director!$D:$D,VPA.Director!$B:$B,$D64,VPA.Director!$A:$A,"&gt;="&amp;N$60,VPA.Director!$A:$A,"&lt;="&amp;N$61,VPA.Director!$D:$D,"&gt;"&amp;0)+sumifs(ADC.Director!$D:$D,ADC.Director!$B:$B,$D64,ADC.Director!$A:$A,"&gt;="&amp;N$60,ADC.Director!$A:$A,"&lt;="&amp;N$61,ADC.Director!$D:$D,"&gt;"&amp;0)+sumifs('000'!$D:$D,'000'!$B:$B,$D64,'000'!$A:$A,"&gt;="&amp;N$60,'000'!$A:$A,"&lt;="&amp;N$61,'000'!$D:$D,"&gt;"&amp;0)+sumifs('500'!$D:$D,'500'!$B:$B,$D64,'500'!$A:$A,"&gt;="&amp;N$60,'500'!$A:$A,"&lt;="&amp;N$60,'500'!$D:$D,"&gt;"&amp;0)+sumifs('300'!$D:$D,'300'!$B:$B,$D64,'300'!$A:$A,"&gt;="&amp;N$60,'300'!$A:$A,"&lt;="&amp;N$61,'300'!$D:$D,"&gt;"&amp;0)+sumifs('600.VPA'!$D:$D,'600.VPA'!$B:$B,$D64,'600.VPA'!$A:$A,"&gt;="&amp;N$60,'600.VPA'!$A:$A,"&lt;="&amp;N$61,'600.VPA'!$D:$D,"&gt;"&amp;0)</f>
        <v>0</v>
      </c>
      <c r="O64" s="148">
        <f>sumifs(Boss!$D:$D,Boss!$B:$B,$D64,Boss!$A:$A,"&gt;="&amp;O$60,Boss!$A:$A,"&lt;="&amp;O$61,Boss!$D:$D,"&lt;"&amp;0)+sumifs(VPA.Director!$D:$D,VPA.Director!$B:$B,$D64,VPA.Director!$A:$A,"&gt;="&amp;O$60,VPA.Director!$A:$A,"&lt;="&amp;O$61,VPA.Director!$D:$D,"&lt;"&amp;0)+sumifs(ADC.Director!$D:$D,ADC.Director!$B:$B,$D64,ADC.Director!$A:$A,"&gt;="&amp;O$60,ADC.Director!$A:$A,"&lt;="&amp;O$61,ADC.Director!$D:$D,"&lt;"&amp;0)+sumifs('000'!$D:$D,'000'!$B:$B,$D64,'000'!$A:$A,"&gt;="&amp;O$60,'000'!$A:$A,"&lt;="&amp;O$61,'000'!$D:$D,"&lt;"&amp;0)+sumifs('500'!$D:$D,'500'!$B:$B,$D64,'500'!$A:$A,"&gt;="&amp;O$60,'500'!$A:$A,"&lt;="&amp;O$61,'500'!$D:$D,"&lt;"&amp;0)+sumifs('300'!$D:$D,'300'!$B:$B,$D64,'300'!$A:$A,"&gt;="&amp;O$60,'300'!$A:$A,"&lt;="&amp;O$61,'300'!$D:$D,"&lt;"&amp;0)+sumifs('600.VPA'!$D:$D,'600.VPA'!$B:$B,$D64,'600.VPA'!$A:$A,"&gt;="&amp;O$60,'600.VPA'!$A:$A,"&lt;="&amp;O$61,'600.VPA'!$D:$D,"&lt;"&amp;0)</f>
        <v>0</v>
      </c>
      <c r="P64" s="149">
        <f>sumifs(Boss!$D:$D,Boss!$B:$B,$D64,Boss!$A:$A,"&gt;="&amp;P$60,Boss!$A:$A,"&lt;="&amp;P$61,Boss!$D:$D,"&gt;"&amp;0)+sumifs(VPA.Director!$D:$D,VPA.Director!$B:$B,$D64,VPA.Director!$A:$A,"&gt;="&amp;P$60,VPA.Director!$A:$A,"&lt;="&amp;P$61,VPA.Director!$D:$D,"&gt;"&amp;0)+sumifs(ADC.Director!$D:$D,ADC.Director!$B:$B,$D64,ADC.Director!$A:$A,"&gt;="&amp;P$60,ADC.Director!$A:$A,"&lt;="&amp;P$61,ADC.Director!$D:$D,"&gt;"&amp;0)+sumifs('000'!$D:$D,'000'!$B:$B,$D64,'000'!$A:$A,"&gt;="&amp;P$60,'000'!$A:$A,"&lt;="&amp;P$61,'000'!$D:$D,"&gt;"&amp;0)+sumifs('500'!$D:$D,'500'!$B:$B,$D64,'500'!$A:$A,"&gt;="&amp;P$60,'500'!$A:$A,"&lt;="&amp;P$60,'500'!$D:$D,"&gt;"&amp;0)+sumifs('300'!$D:$D,'300'!$B:$B,$D64,'300'!$A:$A,"&gt;="&amp;P$60,'300'!$A:$A,"&lt;="&amp;P$61,'300'!$D:$D,"&gt;"&amp;0)+sumifs('600.VPA'!$D:$D,'600.VPA'!$B:$B,$D64,'600.VPA'!$A:$A,"&gt;="&amp;P$60,'600.VPA'!$A:$A,"&lt;="&amp;P$61,'600.VPA'!$D:$D,"&gt;"&amp;0)</f>
        <v>0</v>
      </c>
      <c r="Q64" s="148">
        <f>sumifs(Boss!$D:$D,Boss!$B:$B,$D64,Boss!$A:$A,"&gt;="&amp;Q$60,Boss!$A:$A,"&lt;="&amp;Q$61,Boss!$D:$D,"&lt;"&amp;0)+sumifs(VPA.Director!$D:$D,VPA.Director!$B:$B,$D64,VPA.Director!$A:$A,"&gt;="&amp;Q$60,VPA.Director!$A:$A,"&lt;="&amp;Q$61,VPA.Director!$D:$D,"&lt;"&amp;0)+sumifs(ADC.Director!$D:$D,ADC.Director!$B:$B,$D64,ADC.Director!$A:$A,"&gt;="&amp;Q$60,ADC.Director!$A:$A,"&lt;="&amp;Q$61,ADC.Director!$D:$D,"&lt;"&amp;0)+sumifs('000'!$D:$D,'000'!$B:$B,$D64,'000'!$A:$A,"&gt;="&amp;Q$60,'000'!$A:$A,"&lt;="&amp;Q$61,'000'!$D:$D,"&lt;"&amp;0)+sumifs('500'!$D:$D,'500'!$B:$B,$D64,'500'!$A:$A,"&gt;="&amp;Q$60,'500'!$A:$A,"&lt;="&amp;Q$61,'500'!$D:$D,"&lt;"&amp;0)+sumifs('300'!$D:$D,'300'!$B:$B,$D64,'300'!$A:$A,"&gt;="&amp;Q$60,'300'!$A:$A,"&lt;="&amp;Q$61,'300'!$D:$D,"&lt;"&amp;0)+sumifs('600.VPA'!$D:$D,'600.VPA'!$B:$B,$D64,'600.VPA'!$A:$A,"&gt;="&amp;Q$60,'600.VPA'!$A:$A,"&lt;="&amp;Q$61,'600.VPA'!$D:$D,"&lt;"&amp;0)</f>
        <v>0</v>
      </c>
      <c r="R64" s="149">
        <f>sumifs(Boss!$D:$D,Boss!$B:$B,$D64,Boss!$A:$A,"&gt;="&amp;R$60,Boss!$A:$A,"&lt;="&amp;R$61,Boss!$D:$D,"&gt;"&amp;0)+sumifs(VPA.Director!$D:$D,VPA.Director!$B:$B,$D64,VPA.Director!$A:$A,"&gt;="&amp;R$60,VPA.Director!$A:$A,"&lt;="&amp;R$61,VPA.Director!$D:$D,"&gt;"&amp;0)+sumifs(ADC.Director!$D:$D,ADC.Director!$B:$B,$D64,ADC.Director!$A:$A,"&gt;="&amp;R$60,ADC.Director!$A:$A,"&lt;="&amp;R$61,ADC.Director!$D:$D,"&gt;"&amp;0)+sumifs('000'!$D:$D,'000'!$B:$B,$D64,'000'!$A:$A,"&gt;="&amp;R$60,'000'!$A:$A,"&lt;="&amp;R$61,'000'!$D:$D,"&gt;"&amp;0)+sumifs('500'!$D:$D,'500'!$B:$B,$D64,'500'!$A:$A,"&gt;="&amp;R$60,'500'!$A:$A,"&lt;="&amp;R$60,'500'!$D:$D,"&gt;"&amp;0)+sumifs('300'!$D:$D,'300'!$B:$B,$D64,'300'!$A:$A,"&gt;="&amp;R$60,'300'!$A:$A,"&lt;="&amp;R$61,'300'!$D:$D,"&gt;"&amp;0)+sumifs('600.VPA'!$D:$D,'600.VPA'!$B:$B,$D64,'600.VPA'!$A:$A,"&gt;="&amp;R$60,'600.VPA'!$A:$A,"&lt;="&amp;R$61,'600.VPA'!$D:$D,"&gt;"&amp;0)</f>
        <v>0</v>
      </c>
      <c r="S64" s="148">
        <f>sumifs(Boss!$D:$D,Boss!$B:$B,$D64,Boss!$A:$A,"&gt;="&amp;S$60,Boss!$A:$A,"&lt;="&amp;S$61,Boss!$D:$D,"&lt;"&amp;0)+sumifs(VPA.Director!$D:$D,VPA.Director!$B:$B,$D64,VPA.Director!$A:$A,"&gt;="&amp;S$60,VPA.Director!$A:$A,"&lt;="&amp;S$61,VPA.Director!$D:$D,"&lt;"&amp;0)+sumifs(ADC.Director!$D:$D,ADC.Director!$B:$B,$D64,ADC.Director!$A:$A,"&gt;="&amp;S$60,ADC.Director!$A:$A,"&lt;="&amp;S$61,ADC.Director!$D:$D,"&lt;"&amp;0)+sumifs('000'!$D:$D,'000'!$B:$B,$D64,'000'!$A:$A,"&gt;="&amp;S$60,'000'!$A:$A,"&lt;="&amp;S$61,'000'!$D:$D,"&lt;"&amp;0)+sumifs('500'!$D:$D,'500'!$B:$B,$D64,'500'!$A:$A,"&gt;="&amp;S$60,'500'!$A:$A,"&lt;="&amp;S$61,'500'!$D:$D,"&lt;"&amp;0)+sumifs('300'!$D:$D,'300'!$B:$B,$D64,'300'!$A:$A,"&gt;="&amp;S$60,'300'!$A:$A,"&lt;="&amp;S$61,'300'!$D:$D,"&lt;"&amp;0)+sumifs('600.VPA'!$D:$D,'600.VPA'!$B:$B,$D64,'600.VPA'!$A:$A,"&gt;="&amp;S$60,'600.VPA'!$A:$A,"&lt;="&amp;S$61,'600.VPA'!$D:$D,"&lt;"&amp;0)</f>
        <v>0</v>
      </c>
      <c r="T64" s="149">
        <f>sumifs(Boss!$D:$D,Boss!$B:$B,$D64,Boss!$A:$A,"&gt;="&amp;T$60,Boss!$A:$A,"&lt;="&amp;T$61,Boss!$D:$D,"&gt;"&amp;0)+sumifs(VPA.Director!$D:$D,VPA.Director!$B:$B,$D64,VPA.Director!$A:$A,"&gt;="&amp;T$60,VPA.Director!$A:$A,"&lt;="&amp;T$61,VPA.Director!$D:$D,"&gt;"&amp;0)+sumifs(ADC.Director!$D:$D,ADC.Director!$B:$B,$D64,ADC.Director!$A:$A,"&gt;="&amp;T$60,ADC.Director!$A:$A,"&lt;="&amp;T$61,ADC.Director!$D:$D,"&gt;"&amp;0)+sumifs('000'!$D:$D,'000'!$B:$B,$D64,'000'!$A:$A,"&gt;="&amp;T$60,'000'!$A:$A,"&lt;="&amp;T$61,'000'!$D:$D,"&gt;"&amp;0)+sumifs('500'!$D:$D,'500'!$B:$B,$D64,'500'!$A:$A,"&gt;="&amp;T$60,'500'!$A:$A,"&lt;="&amp;T$60,'500'!$D:$D,"&gt;"&amp;0)+sumifs('300'!$D:$D,'300'!$B:$B,$D64,'300'!$A:$A,"&gt;="&amp;T$60,'300'!$A:$A,"&lt;="&amp;T$61,'300'!$D:$D,"&gt;"&amp;0)+sumifs('600.VPA'!$D:$D,'600.VPA'!$B:$B,$D64,'600.VPA'!$A:$A,"&gt;="&amp;T$60,'600.VPA'!$A:$A,"&lt;="&amp;T$61,'600.VPA'!$D:$D,"&gt;"&amp;0)</f>
        <v>0</v>
      </c>
      <c r="U64" s="144"/>
      <c r="V64" s="148">
        <f>sumifs(Boss!$D:$D,Boss!$B:$B,$D64,Boss!$A:$A,"&gt;="&amp;V$60,Boss!$A:$A,"&lt;="&amp;V$61,Boss!$D:$D,"&lt;"&amp;0)+sumifs(VPA.Director!$D:$D,VPA.Director!$B:$B,$D64,VPA.Director!$A:$A,"&gt;="&amp;V$60,VPA.Director!$A:$A,"&lt;="&amp;V$61,VPA.Director!$D:$D,"&lt;"&amp;0)+sumifs(ADC.Director!$D:$D,ADC.Director!$B:$B,$D64,ADC.Director!$A:$A,"&gt;="&amp;V$60,ADC.Director!$A:$A,"&lt;="&amp;V$61,ADC.Director!$D:$D,"&lt;"&amp;0)+sumifs('000'!$D:$D,'000'!$B:$B,$D64,'000'!$A:$A,"&gt;="&amp;V$60,'000'!$A:$A,"&lt;="&amp;V$61,'000'!$D:$D,"&lt;"&amp;0)+sumifs('500'!$D:$D,'500'!$B:$B,$D64,'500'!$A:$A,"&gt;="&amp;V$60,'500'!$A:$A,"&lt;="&amp;V$61,'500'!$D:$D,"&lt;"&amp;0)+sumifs('300'!$D:$D,'300'!$B:$B,$D64,'300'!$A:$A,"&gt;="&amp;V$60,'300'!$A:$A,"&lt;="&amp;V$61,'300'!$D:$D,"&lt;"&amp;0)+sumifs('600.VPA'!$D:$D,'600.VPA'!$B:$B,$D64,'600.VPA'!$A:$A,"&gt;="&amp;V$60,'600.VPA'!$A:$A,"&lt;="&amp;V$61,'600.VPA'!$D:$D,"&lt;"&amp;0)</f>
        <v>0</v>
      </c>
      <c r="W64" s="149">
        <f>sumifs(Boss!$D:$D,Boss!$B:$B,$D64,Boss!$A:$A,"&gt;="&amp;W$60,Boss!$A:$A,"&lt;="&amp;W$61,Boss!$D:$D,"&gt;"&amp;0)+sumifs(VPA.Director!$D:$D,VPA.Director!$B:$B,$D64,VPA.Director!$A:$A,"&gt;="&amp;W$60,VPA.Director!$A:$A,"&lt;="&amp;W$61,VPA.Director!$D:$D,"&gt;"&amp;0)+sumifs(ADC.Director!$D:$D,ADC.Director!$B:$B,$D64,ADC.Director!$A:$A,"&gt;="&amp;W$60,ADC.Director!$A:$A,"&lt;="&amp;W$61,ADC.Director!$D:$D,"&gt;"&amp;0)+sumifs('000'!$D:$D,'000'!$B:$B,$D64,'000'!$A:$A,"&gt;="&amp;W$60,'000'!$A:$A,"&lt;="&amp;W$61,'000'!$D:$D,"&gt;"&amp;0)+sumifs('500'!$D:$D,'500'!$B:$B,$D64,'500'!$A:$A,"&gt;="&amp;W$60,'500'!$A:$A,"&lt;="&amp;W$60,'500'!$D:$D,"&gt;"&amp;0)+sumifs('300'!$D:$D,'300'!$B:$B,$D64,'300'!$A:$A,"&gt;="&amp;W$60,'300'!$A:$A,"&lt;="&amp;W$61,'300'!$D:$D,"&gt;"&amp;0)+sumifs('600.VPA'!$D:$D,'600.VPA'!$B:$B,$D64,'600.VPA'!$A:$A,"&gt;="&amp;W$60,'600.VPA'!$A:$A,"&lt;="&amp;W$61,'600.VPA'!$D:$D,"&gt;"&amp;0)</f>
        <v>0</v>
      </c>
      <c r="X64" s="148">
        <f>sumifs(Boss!$D:$D,Boss!$B:$B,$D64,Boss!$A:$A,"&gt;="&amp;X$60,Boss!$A:$A,"&lt;="&amp;X$61,Boss!$D:$D,"&lt;"&amp;0)+sumifs(VPA.Director!$D:$D,VPA.Director!$B:$B,$D64,VPA.Director!$A:$A,"&gt;="&amp;X$60,VPA.Director!$A:$A,"&lt;="&amp;X$61,VPA.Director!$D:$D,"&lt;"&amp;0)+sumifs(ADC.Director!$D:$D,ADC.Director!$B:$B,$D64,ADC.Director!$A:$A,"&gt;="&amp;X$60,ADC.Director!$A:$A,"&lt;="&amp;X$61,ADC.Director!$D:$D,"&lt;"&amp;0)+sumifs('000'!$D:$D,'000'!$B:$B,$D64,'000'!$A:$A,"&gt;="&amp;X$60,'000'!$A:$A,"&lt;="&amp;X$61,'000'!$D:$D,"&lt;"&amp;0)+sumifs('500'!$D:$D,'500'!$B:$B,$D64,'500'!$A:$A,"&gt;="&amp;X$60,'500'!$A:$A,"&lt;="&amp;X$61,'500'!$D:$D,"&lt;"&amp;0)+sumifs('300'!$D:$D,'300'!$B:$B,$D64,'300'!$A:$A,"&gt;="&amp;X$60,'300'!$A:$A,"&lt;="&amp;X$61,'300'!$D:$D,"&lt;"&amp;0)+sumifs('600.VPA'!$D:$D,'600.VPA'!$B:$B,$D64,'600.VPA'!$A:$A,"&gt;="&amp;X$60,'600.VPA'!$A:$A,"&lt;="&amp;X$61,'600.VPA'!$D:$D,"&lt;"&amp;0)</f>
        <v>0</v>
      </c>
      <c r="Y64" s="149">
        <f>sumifs(Boss!$D:$D,Boss!$B:$B,$D64,Boss!$A:$A,"&gt;="&amp;Y$60,Boss!$A:$A,"&lt;="&amp;Y$61,Boss!$D:$D,"&gt;"&amp;0)+sumifs(VPA.Director!$D:$D,VPA.Director!$B:$B,$D64,VPA.Director!$A:$A,"&gt;="&amp;Y$60,VPA.Director!$A:$A,"&lt;="&amp;Y$61,VPA.Director!$D:$D,"&gt;"&amp;0)+sumifs(ADC.Director!$D:$D,ADC.Director!$B:$B,$D64,ADC.Director!$A:$A,"&gt;="&amp;Y$60,ADC.Director!$A:$A,"&lt;="&amp;Y$61,ADC.Director!$D:$D,"&gt;"&amp;0)+sumifs('000'!$D:$D,'000'!$B:$B,$D64,'000'!$A:$A,"&gt;="&amp;Y$60,'000'!$A:$A,"&lt;="&amp;Y$61,'000'!$D:$D,"&gt;"&amp;0)+sumifs('500'!$D:$D,'500'!$B:$B,$D64,'500'!$A:$A,"&gt;="&amp;Y$60,'500'!$A:$A,"&lt;="&amp;Y$60,'500'!$D:$D,"&gt;"&amp;0)+sumifs('300'!$D:$D,'300'!$B:$B,$D64,'300'!$A:$A,"&gt;="&amp;Y$60,'300'!$A:$A,"&lt;="&amp;Y$61,'300'!$D:$D,"&gt;"&amp;0)+sumifs('600.VPA'!$D:$D,'600.VPA'!$B:$B,$D64,'600.VPA'!$A:$A,"&gt;="&amp;Y$60,'600.VPA'!$A:$A,"&lt;="&amp;Y$61,'600.VPA'!$D:$D,"&gt;"&amp;0)</f>
        <v>0</v>
      </c>
      <c r="Z64" s="148">
        <f>sumifs(Boss!$D:$D,Boss!$B:$B,$D64,Boss!$A:$A,"&gt;="&amp;Z$60,Boss!$A:$A,"&lt;="&amp;Z$61,Boss!$D:$D,"&lt;"&amp;0)+sumifs(VPA.Director!$D:$D,VPA.Director!$B:$B,$D64,VPA.Director!$A:$A,"&gt;="&amp;Z$60,VPA.Director!$A:$A,"&lt;="&amp;Z$61,VPA.Director!$D:$D,"&lt;"&amp;0)+sumifs(ADC.Director!$D:$D,ADC.Director!$B:$B,$D64,ADC.Director!$A:$A,"&gt;="&amp;Z$60,ADC.Director!$A:$A,"&lt;="&amp;Z$61,ADC.Director!$D:$D,"&lt;"&amp;0)+sumifs('000'!$D:$D,'000'!$B:$B,$D64,'000'!$A:$A,"&gt;="&amp;Z$60,'000'!$A:$A,"&lt;="&amp;Z$61,'000'!$D:$D,"&lt;"&amp;0)+sumifs('500'!$D:$D,'500'!$B:$B,$D64,'500'!$A:$A,"&gt;="&amp;Z$60,'500'!$A:$A,"&lt;="&amp;Z$61,'500'!$D:$D,"&lt;"&amp;0)+sumifs('300'!$D:$D,'300'!$B:$B,$D64,'300'!$A:$A,"&gt;="&amp;Z$60,'300'!$A:$A,"&lt;="&amp;Z$61,'300'!$D:$D,"&lt;"&amp;0)+sumifs('600.VPA'!$D:$D,'600.VPA'!$B:$B,$D64,'600.VPA'!$A:$A,"&gt;="&amp;Z$60,'600.VPA'!$A:$A,"&lt;="&amp;Z$61,'600.VPA'!$D:$D,"&lt;"&amp;0)</f>
        <v>0</v>
      </c>
      <c r="AA64" s="149">
        <f>sumifs(Boss!$D:$D,Boss!$B:$B,$D64,Boss!$A:$A,"&gt;="&amp;AA$60,Boss!$A:$A,"&lt;="&amp;AA$61,Boss!$D:$D,"&gt;"&amp;0)+sumifs(VPA.Director!$D:$D,VPA.Director!$B:$B,$D64,VPA.Director!$A:$A,"&gt;="&amp;AA$60,VPA.Director!$A:$A,"&lt;="&amp;AA$61,VPA.Director!$D:$D,"&gt;"&amp;0)+sumifs(ADC.Director!$D:$D,ADC.Director!$B:$B,$D64,ADC.Director!$A:$A,"&gt;="&amp;AA$60,ADC.Director!$A:$A,"&lt;="&amp;AA$61,ADC.Director!$D:$D,"&gt;"&amp;0)+sumifs('000'!$D:$D,'000'!$B:$B,$D64,'000'!$A:$A,"&gt;="&amp;AA$60,'000'!$A:$A,"&lt;="&amp;AA$61,'000'!$D:$D,"&gt;"&amp;0)+sumifs('500'!$D:$D,'500'!$B:$B,$D64,'500'!$A:$A,"&gt;="&amp;AA$60,'500'!$A:$A,"&lt;="&amp;AA$60,'500'!$D:$D,"&gt;"&amp;0)+sumifs('300'!$D:$D,'300'!$B:$B,$D64,'300'!$A:$A,"&gt;="&amp;AA$60,'300'!$A:$A,"&lt;="&amp;AA$61,'300'!$D:$D,"&gt;"&amp;0)+sumifs('600.VPA'!$D:$D,'600.VPA'!$B:$B,$D64,'600.VPA'!$A:$A,"&gt;="&amp;AA$60,'600.VPA'!$A:$A,"&lt;="&amp;AA$61,'600.VPA'!$D:$D,"&gt;"&amp;0)</f>
        <v>0</v>
      </c>
      <c r="AB64" s="148">
        <f>sumifs(Boss!$D:$D,Boss!$B:$B,$D64,Boss!$A:$A,"&gt;="&amp;AB$60,Boss!$A:$A,"&lt;="&amp;AB$61,Boss!$D:$D,"&lt;"&amp;0)+sumifs(VPA.Director!$D:$D,VPA.Director!$B:$B,$D64,VPA.Director!$A:$A,"&gt;="&amp;AB$60,VPA.Director!$A:$A,"&lt;="&amp;AB$61,VPA.Director!$D:$D,"&lt;"&amp;0)+sumifs(ADC.Director!$D:$D,ADC.Director!$B:$B,$D64,ADC.Director!$A:$A,"&gt;="&amp;AB$60,ADC.Director!$A:$A,"&lt;="&amp;AB$61,ADC.Director!$D:$D,"&lt;"&amp;0)+sumifs('000'!$D:$D,'000'!$B:$B,$D64,'000'!$A:$A,"&gt;="&amp;AB$60,'000'!$A:$A,"&lt;="&amp;AB$61,'000'!$D:$D,"&lt;"&amp;0)+sumifs('500'!$D:$D,'500'!$B:$B,$D64,'500'!$A:$A,"&gt;="&amp;AB$60,'500'!$A:$A,"&lt;="&amp;AB$61,'500'!$D:$D,"&lt;"&amp;0)+sumifs('300'!$D:$D,'300'!$B:$B,$D64,'300'!$A:$A,"&gt;="&amp;AB$60,'300'!$A:$A,"&lt;="&amp;AB$61,'300'!$D:$D,"&lt;"&amp;0)+sumifs('600.VPA'!$D:$D,'600.VPA'!$B:$B,$D64,'600.VPA'!$A:$A,"&gt;="&amp;AB$60,'600.VPA'!$A:$A,"&lt;="&amp;AB$61,'600.VPA'!$D:$D,"&lt;"&amp;0)</f>
        <v>0</v>
      </c>
      <c r="AC64" s="149">
        <f>sumifs(Boss!$D:$D,Boss!$B:$B,$D64,Boss!$A:$A,"&gt;="&amp;AC$60,Boss!$A:$A,"&lt;="&amp;AC$61,Boss!$D:$D,"&gt;"&amp;0)+sumifs(VPA.Director!$D:$D,VPA.Director!$B:$B,$D64,VPA.Director!$A:$A,"&gt;="&amp;AC$60,VPA.Director!$A:$A,"&lt;="&amp;AC$61,VPA.Director!$D:$D,"&gt;"&amp;0)+sumifs(ADC.Director!$D:$D,ADC.Director!$B:$B,$D64,ADC.Director!$A:$A,"&gt;="&amp;AC$60,ADC.Director!$A:$A,"&lt;="&amp;AC$61,ADC.Director!$D:$D,"&gt;"&amp;0)+sumifs('000'!$D:$D,'000'!$B:$B,$D64,'000'!$A:$A,"&gt;="&amp;AC$60,'000'!$A:$A,"&lt;="&amp;AC$61,'000'!$D:$D,"&gt;"&amp;0)+sumifs('500'!$D:$D,'500'!$B:$B,$D64,'500'!$A:$A,"&gt;="&amp;AC$60,'500'!$A:$A,"&lt;="&amp;AC$60,'500'!$D:$D,"&gt;"&amp;0)+sumifs('300'!$D:$D,'300'!$B:$B,$D64,'300'!$A:$A,"&gt;="&amp;AC$60,'300'!$A:$A,"&lt;="&amp;AC$61,'300'!$D:$D,"&gt;"&amp;0)+sumifs('600.VPA'!$D:$D,'600.VPA'!$B:$B,$D64,'600.VPA'!$A:$A,"&gt;="&amp;AC$60,'600.VPA'!$A:$A,"&lt;="&amp;AC$61,'600.VPA'!$D:$D,"&gt;"&amp;0)</f>
        <v>0</v>
      </c>
      <c r="AD64" s="148">
        <f>sumifs(Boss!$D:$D,Boss!$B:$B,$D64,Boss!$A:$A,"&gt;="&amp;AD$60,Boss!$A:$A,"&lt;="&amp;AD$61,Boss!$D:$D,"&lt;"&amp;0)+sumifs(VPA.Director!$D:$D,VPA.Director!$B:$B,$D64,VPA.Director!$A:$A,"&gt;="&amp;AD$60,VPA.Director!$A:$A,"&lt;="&amp;AD$61,VPA.Director!$D:$D,"&lt;"&amp;0)+sumifs(ADC.Director!$D:$D,ADC.Director!$B:$B,$D64,ADC.Director!$A:$A,"&gt;="&amp;AD$60,ADC.Director!$A:$A,"&lt;="&amp;AD$61,ADC.Director!$D:$D,"&lt;"&amp;0)+sumifs('000'!$D:$D,'000'!$B:$B,$D64,'000'!$A:$A,"&gt;="&amp;AD$60,'000'!$A:$A,"&lt;="&amp;AD$61,'000'!$D:$D,"&lt;"&amp;0)+sumifs('500'!$D:$D,'500'!$B:$B,$D64,'500'!$A:$A,"&gt;="&amp;AD$60,'500'!$A:$A,"&lt;="&amp;AD$61,'500'!$D:$D,"&lt;"&amp;0)+sumifs('300'!$D:$D,'300'!$B:$B,$D64,'300'!$A:$A,"&gt;="&amp;AD$60,'300'!$A:$A,"&lt;="&amp;AD$61,'300'!$D:$D,"&lt;"&amp;0)+sumifs('600.VPA'!$D:$D,'600.VPA'!$B:$B,$D64,'600.VPA'!$A:$A,"&gt;="&amp;AD$60,'600.VPA'!$A:$A,"&lt;="&amp;AD$61,'600.VPA'!$D:$D,"&lt;"&amp;0)</f>
        <v>0</v>
      </c>
      <c r="AE64" s="149">
        <f>sumifs(Boss!$D:$D,Boss!$B:$B,$D64,Boss!$A:$A,"&gt;="&amp;AE$60,Boss!$A:$A,"&lt;="&amp;AE$61,Boss!$D:$D,"&gt;"&amp;0)+sumifs(VPA.Director!$D:$D,VPA.Director!$B:$B,$D64,VPA.Director!$A:$A,"&gt;="&amp;AE$60,VPA.Director!$A:$A,"&lt;="&amp;AE$61,VPA.Director!$D:$D,"&gt;"&amp;0)+sumifs(ADC.Director!$D:$D,ADC.Director!$B:$B,$D64,ADC.Director!$A:$A,"&gt;="&amp;AE$60,ADC.Director!$A:$A,"&lt;="&amp;AE$61,ADC.Director!$D:$D,"&gt;"&amp;0)+sumifs('000'!$D:$D,'000'!$B:$B,$D64,'000'!$A:$A,"&gt;="&amp;AE$60,'000'!$A:$A,"&lt;="&amp;AE$61,'000'!$D:$D,"&gt;"&amp;0)+sumifs('500'!$D:$D,'500'!$B:$B,$D64,'500'!$A:$A,"&gt;="&amp;AE$60,'500'!$A:$A,"&lt;="&amp;AE$60,'500'!$D:$D,"&gt;"&amp;0)+sumifs('300'!$D:$D,'300'!$B:$B,$D64,'300'!$A:$A,"&gt;="&amp;AE$60,'300'!$A:$A,"&lt;="&amp;AE$61,'300'!$D:$D,"&gt;"&amp;0)+sumifs('600.VPA'!$D:$D,'600.VPA'!$B:$B,$D64,'600.VPA'!$A:$A,"&gt;="&amp;AE$60,'600.VPA'!$A:$A,"&lt;="&amp;AE$61,'600.VPA'!$D:$D,"&gt;"&amp;0)</f>
        <v>0</v>
      </c>
      <c r="AF64" s="148">
        <f>sumifs(Boss!$D:$D,Boss!$B:$B,$D64,Boss!$A:$A,"&gt;="&amp;AF$60,Boss!$A:$A,"&lt;="&amp;AF$61,Boss!$D:$D,"&lt;"&amp;0)+sumifs(VPA.Director!$D:$D,VPA.Director!$B:$B,$D64,VPA.Director!$A:$A,"&gt;="&amp;AF$60,VPA.Director!$A:$A,"&lt;="&amp;AF$61,VPA.Director!$D:$D,"&lt;"&amp;0)+sumifs(ADC.Director!$D:$D,ADC.Director!$B:$B,$D64,ADC.Director!$A:$A,"&gt;="&amp;AF$60,ADC.Director!$A:$A,"&lt;="&amp;AF$61,ADC.Director!$D:$D,"&lt;"&amp;0)+sumifs('000'!$D:$D,'000'!$B:$B,$D64,'000'!$A:$A,"&gt;="&amp;AF$60,'000'!$A:$A,"&lt;="&amp;AF$61,'000'!$D:$D,"&lt;"&amp;0)+sumifs('500'!$D:$D,'500'!$B:$B,$D64,'500'!$A:$A,"&gt;="&amp;AF$60,'500'!$A:$A,"&lt;="&amp;AF$61,'500'!$D:$D,"&lt;"&amp;0)+sumifs('300'!$D:$D,'300'!$B:$B,$D64,'300'!$A:$A,"&gt;="&amp;AF$60,'300'!$A:$A,"&lt;="&amp;AF$61,'300'!$D:$D,"&lt;"&amp;0)+sumifs('600.VPA'!$D:$D,'600.VPA'!$B:$B,$D64,'600.VPA'!$A:$A,"&gt;="&amp;AF$60,'600.VPA'!$A:$A,"&lt;="&amp;AF$61,'600.VPA'!$D:$D,"&lt;"&amp;0)</f>
        <v>0</v>
      </c>
      <c r="AG64" s="149">
        <f>sumifs(Boss!$D:$D,Boss!$B:$B,$D64,Boss!$A:$A,"&gt;="&amp;AG$60,Boss!$A:$A,"&lt;="&amp;AG$61,Boss!$D:$D,"&gt;"&amp;0)+sumifs(VPA.Director!$D:$D,VPA.Director!$B:$B,$D64,VPA.Director!$A:$A,"&gt;="&amp;AG$60,VPA.Director!$A:$A,"&lt;="&amp;AG$61,VPA.Director!$D:$D,"&gt;"&amp;0)+sumifs(ADC.Director!$D:$D,ADC.Director!$B:$B,$D64,ADC.Director!$A:$A,"&gt;="&amp;AG$60,ADC.Director!$A:$A,"&lt;="&amp;AG$61,ADC.Director!$D:$D,"&gt;"&amp;0)+sumifs('000'!$D:$D,'000'!$B:$B,$D64,'000'!$A:$A,"&gt;="&amp;AG$60,'000'!$A:$A,"&lt;="&amp;AG$61,'000'!$D:$D,"&gt;"&amp;0)+sumifs('500'!$D:$D,'500'!$B:$B,$D64,'500'!$A:$A,"&gt;="&amp;AG$60,'500'!$A:$A,"&lt;="&amp;AG$60,'500'!$D:$D,"&gt;"&amp;0)+sumifs('300'!$D:$D,'300'!$B:$B,$D64,'300'!$A:$A,"&gt;="&amp;AG$60,'300'!$A:$A,"&lt;="&amp;AG$61,'300'!$D:$D,"&gt;"&amp;0)+sumifs('600.VPA'!$D:$D,'600.VPA'!$B:$B,$D64,'600.VPA'!$A:$A,"&gt;="&amp;AG$60,'600.VPA'!$A:$A,"&lt;="&amp;AG$61,'600.VPA'!$D:$D,"&gt;"&amp;0)</f>
        <v>0</v>
      </c>
      <c r="AH64" s="150">
        <f t="shared" ref="AH64:AI64" si="2">sum(I64,K64,M64,O64,Q64,S64,V64,X64,Z64,AB64,AD64,AF64)</f>
        <v>0</v>
      </c>
      <c r="AI64" s="151">
        <f t="shared" si="2"/>
        <v>0</v>
      </c>
      <c r="AJ64" s="150">
        <f t="shared" ref="AJ64:AJ90" si="4">abs(AH64)+abs(AI64)</f>
        <v>0</v>
      </c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</row>
    <row r="65">
      <c r="A65" s="86"/>
      <c r="B65" s="144"/>
      <c r="D65" s="146" t="s">
        <v>43</v>
      </c>
      <c r="E65" s="147" t="s">
        <v>4</v>
      </c>
      <c r="F65" s="146" t="s">
        <v>136</v>
      </c>
      <c r="G65" s="146" t="s">
        <v>45</v>
      </c>
      <c r="H65" s="146" t="s">
        <v>42</v>
      </c>
      <c r="I65" s="148">
        <f>sumifs(Boss!$D:$D,Boss!$B:$B,$D65,Boss!$A:$A,"&gt;="&amp;I$60,Boss!$A:$A,"&lt;="&amp;I$61,Boss!$D:$D,"&lt;"&amp;0)+sumifs(VPA.Director!$D:$D,VPA.Director!$B:$B,$D65,VPA.Director!$A:$A,"&gt;="&amp;I$60,VPA.Director!$A:$A,"&lt;="&amp;I$61,VPA.Director!$D:$D,"&lt;"&amp;0)+sumifs(ADC.Director!$D:$D,ADC.Director!$B:$B,$D65,ADC.Director!$A:$A,"&gt;="&amp;I$60,ADC.Director!$A:$A,"&lt;="&amp;I$61,ADC.Director!$D:$D,"&lt;"&amp;0)+sumifs('000'!$D:$D,'000'!$B:$B,$D65,'000'!$A:$A,"&gt;="&amp;I$60,'000'!$A:$A,"&lt;="&amp;I$61,'000'!$D:$D,"&lt;"&amp;0)+sumifs('500'!$D:$D,'500'!$B:$B,$D65,'500'!$A:$A,"&gt;="&amp;I$60,'500'!$A:$A,"&lt;="&amp;I$61,'500'!$D:$D,"&lt;"&amp;0)+sumifs('300'!$D:$D,'300'!$B:$B,$D65,'300'!$A:$A,"&gt;="&amp;I$60,'300'!$A:$A,"&lt;="&amp;I$61,'300'!$D:$D,"&lt;"&amp;0)+sumifs('600.VPA'!$D:$D,'600.VPA'!$B:$B,$D65,'600.VPA'!$A:$A,"&gt;="&amp;I$60,'600.VPA'!$A:$A,"&lt;="&amp;I$61,'600.VPA'!$D:$D,"&lt;"&amp;0)</f>
        <v>0</v>
      </c>
      <c r="J65" s="149">
        <f>sumifs(Boss!$D:$D,Boss!$B:$B,$D65,Boss!$A:$A,"&gt;="&amp;J$60,Boss!$A:$A,"&lt;="&amp;J$61,Boss!$D:$D,"&gt;"&amp;0)+sumifs(VPA.Director!$D:$D,VPA.Director!$B:$B,$D65,VPA.Director!$A:$A,"&gt;="&amp;J$60,VPA.Director!$A:$A,"&lt;="&amp;J$61,VPA.Director!$D:$D,"&gt;"&amp;0)+sumifs(ADC.Director!$D:$D,ADC.Director!$B:$B,$D65,ADC.Director!$A:$A,"&gt;="&amp;J$60,ADC.Director!$A:$A,"&lt;="&amp;J$61,ADC.Director!$D:$D,"&gt;"&amp;0)+sumifs('000'!$D:$D,'000'!$B:$B,$D65,'000'!$A:$A,"&gt;="&amp;J$60,'000'!$A:$A,"&lt;="&amp;J$61,'000'!$D:$D,"&gt;"&amp;0)+sumifs('500'!$D:$D,'500'!$B:$B,$D65,'500'!$A:$A,"&gt;="&amp;J$60,'500'!$A:$A,"&lt;="&amp;J$60,'500'!$D:$D,"&gt;"&amp;0)+sumifs('300'!$D:$D,'300'!$B:$B,$D65,'300'!$A:$A,"&gt;="&amp;J$60,'300'!$A:$A,"&lt;="&amp;J$61,'300'!$D:$D,"&gt;"&amp;0)+sumifs('600.VPA'!$D:$D,'600.VPA'!$B:$B,$D65,'600.VPA'!$A:$A,"&gt;="&amp;J$60,'600.VPA'!$A:$A,"&lt;="&amp;J$61,'600.VPA'!$D:$D,"&gt;"&amp;0)</f>
        <v>0</v>
      </c>
      <c r="K65" s="148">
        <f>sumifs(Boss!$D:$D,Boss!$B:$B,$D65,Boss!$A:$A,"&gt;="&amp;K$60,Boss!$A:$A,"&lt;="&amp;K$61,Boss!$D:$D,"&lt;"&amp;0)+sumifs(VPA.Director!$D:$D,VPA.Director!$B:$B,$D65,VPA.Director!$A:$A,"&gt;="&amp;K$60,VPA.Director!$A:$A,"&lt;="&amp;K$61,VPA.Director!$D:$D,"&lt;"&amp;0)+sumifs(ADC.Director!$D:$D,ADC.Director!$B:$B,$D65,ADC.Director!$A:$A,"&gt;="&amp;K$60,ADC.Director!$A:$A,"&lt;="&amp;K$61,ADC.Director!$D:$D,"&lt;"&amp;0)+sumifs('000'!$D:$D,'000'!$B:$B,$D65,'000'!$A:$A,"&gt;="&amp;K$60,'000'!$A:$A,"&lt;="&amp;K$61,'000'!$D:$D,"&lt;"&amp;0)+sumifs('500'!$D:$D,'500'!$B:$B,$D65,'500'!$A:$A,"&gt;="&amp;K$60,'500'!$A:$A,"&lt;="&amp;K$61,'500'!$D:$D,"&lt;"&amp;0)+sumifs('300'!$D:$D,'300'!$B:$B,$D65,'300'!$A:$A,"&gt;="&amp;K$60,'300'!$A:$A,"&lt;="&amp;K$61,'300'!$D:$D,"&lt;"&amp;0)+sumifs('600.VPA'!$D:$D,'600.VPA'!$B:$B,$D65,'600.VPA'!$A:$A,"&gt;="&amp;K$60,'600.VPA'!$A:$A,"&lt;="&amp;K$61,'600.VPA'!$D:$D,"&lt;"&amp;0)</f>
        <v>0</v>
      </c>
      <c r="L65" s="149">
        <f>sumifs(Boss!$D:$D,Boss!$B:$B,$D65,Boss!$A:$A,"&gt;="&amp;L$60,Boss!$A:$A,"&lt;="&amp;L$61,Boss!$D:$D,"&gt;"&amp;0)+sumifs(VPA.Director!$D:$D,VPA.Director!$B:$B,$D65,VPA.Director!$A:$A,"&gt;="&amp;L$60,VPA.Director!$A:$A,"&lt;="&amp;L$61,VPA.Director!$D:$D,"&gt;"&amp;0)+sumifs(ADC.Director!$D:$D,ADC.Director!$B:$B,$D65,ADC.Director!$A:$A,"&gt;="&amp;L$60,ADC.Director!$A:$A,"&lt;="&amp;L$61,ADC.Director!$D:$D,"&gt;"&amp;0)+sumifs('000'!$D:$D,'000'!$B:$B,$D65,'000'!$A:$A,"&gt;="&amp;L$60,'000'!$A:$A,"&lt;="&amp;L$61,'000'!$D:$D,"&gt;"&amp;0)+sumifs('500'!$D:$D,'500'!$B:$B,$D65,'500'!$A:$A,"&gt;="&amp;L$60,'500'!$A:$A,"&lt;="&amp;L$60,'500'!$D:$D,"&gt;"&amp;0)+sumifs('300'!$D:$D,'300'!$B:$B,$D65,'300'!$A:$A,"&gt;="&amp;L$60,'300'!$A:$A,"&lt;="&amp;L$61,'300'!$D:$D,"&gt;"&amp;0)+sumifs('600.VPA'!$D:$D,'600.VPA'!$B:$B,$D65,'600.VPA'!$A:$A,"&gt;="&amp;L$60,'600.VPA'!$A:$A,"&lt;="&amp;L$61,'600.VPA'!$D:$D,"&gt;"&amp;0)</f>
        <v>0</v>
      </c>
      <c r="M65" s="148">
        <f>sumifs(Boss!$D:$D,Boss!$B:$B,$D65,Boss!$A:$A,"&gt;="&amp;M$60,Boss!$A:$A,"&lt;="&amp;M$61,Boss!$D:$D,"&lt;"&amp;0)+sumifs(VPA.Director!$D:$D,VPA.Director!$B:$B,$D65,VPA.Director!$A:$A,"&gt;="&amp;M$60,VPA.Director!$A:$A,"&lt;="&amp;M$61,VPA.Director!$D:$D,"&lt;"&amp;0)+sumifs(ADC.Director!$D:$D,ADC.Director!$B:$B,$D65,ADC.Director!$A:$A,"&gt;="&amp;M$60,ADC.Director!$A:$A,"&lt;="&amp;M$61,ADC.Director!$D:$D,"&lt;"&amp;0)+sumifs('000'!$D:$D,'000'!$B:$B,$D65,'000'!$A:$A,"&gt;="&amp;M$60,'000'!$A:$A,"&lt;="&amp;M$61,'000'!$D:$D,"&lt;"&amp;0)+sumifs('500'!$D:$D,'500'!$B:$B,$D65,'500'!$A:$A,"&gt;="&amp;M$60,'500'!$A:$A,"&lt;="&amp;M$61,'500'!$D:$D,"&lt;"&amp;0)+sumifs('300'!$D:$D,'300'!$B:$B,$D65,'300'!$A:$A,"&gt;="&amp;M$60,'300'!$A:$A,"&lt;="&amp;M$61,'300'!$D:$D,"&lt;"&amp;0)+sumifs('600.VPA'!$D:$D,'600.VPA'!$B:$B,$D65,'600.VPA'!$A:$A,"&gt;="&amp;M$60,'600.VPA'!$A:$A,"&lt;="&amp;M$61,'600.VPA'!$D:$D,"&lt;"&amp;0)</f>
        <v>0</v>
      </c>
      <c r="N65" s="149">
        <f>sumifs(Boss!$D:$D,Boss!$B:$B,$D65,Boss!$A:$A,"&gt;="&amp;N$60,Boss!$A:$A,"&lt;="&amp;N$61,Boss!$D:$D,"&gt;"&amp;0)+sumifs(VPA.Director!$D:$D,VPA.Director!$B:$B,$D65,VPA.Director!$A:$A,"&gt;="&amp;N$60,VPA.Director!$A:$A,"&lt;="&amp;N$61,VPA.Director!$D:$D,"&gt;"&amp;0)+sumifs(ADC.Director!$D:$D,ADC.Director!$B:$B,$D65,ADC.Director!$A:$A,"&gt;="&amp;N$60,ADC.Director!$A:$A,"&lt;="&amp;N$61,ADC.Director!$D:$D,"&gt;"&amp;0)+sumifs('000'!$D:$D,'000'!$B:$B,$D65,'000'!$A:$A,"&gt;="&amp;N$60,'000'!$A:$A,"&lt;="&amp;N$61,'000'!$D:$D,"&gt;"&amp;0)+sumifs('500'!$D:$D,'500'!$B:$B,$D65,'500'!$A:$A,"&gt;="&amp;N$60,'500'!$A:$A,"&lt;="&amp;N$60,'500'!$D:$D,"&gt;"&amp;0)+sumifs('300'!$D:$D,'300'!$B:$B,$D65,'300'!$A:$A,"&gt;="&amp;N$60,'300'!$A:$A,"&lt;="&amp;N$61,'300'!$D:$D,"&gt;"&amp;0)+sumifs('600.VPA'!$D:$D,'600.VPA'!$B:$B,$D65,'600.VPA'!$A:$A,"&gt;="&amp;N$60,'600.VPA'!$A:$A,"&lt;="&amp;N$61,'600.VPA'!$D:$D,"&gt;"&amp;0)</f>
        <v>0</v>
      </c>
      <c r="O65" s="148">
        <f>sumifs(Boss!$D:$D,Boss!$B:$B,$D65,Boss!$A:$A,"&gt;="&amp;O$60,Boss!$A:$A,"&lt;="&amp;O$61,Boss!$D:$D,"&lt;"&amp;0)+sumifs(VPA.Director!$D:$D,VPA.Director!$B:$B,$D65,VPA.Director!$A:$A,"&gt;="&amp;O$60,VPA.Director!$A:$A,"&lt;="&amp;O$61,VPA.Director!$D:$D,"&lt;"&amp;0)+sumifs(ADC.Director!$D:$D,ADC.Director!$B:$B,$D65,ADC.Director!$A:$A,"&gt;="&amp;O$60,ADC.Director!$A:$A,"&lt;="&amp;O$61,ADC.Director!$D:$D,"&lt;"&amp;0)+sumifs('000'!$D:$D,'000'!$B:$B,$D65,'000'!$A:$A,"&gt;="&amp;O$60,'000'!$A:$A,"&lt;="&amp;O$61,'000'!$D:$D,"&lt;"&amp;0)+sumifs('500'!$D:$D,'500'!$B:$B,$D65,'500'!$A:$A,"&gt;="&amp;O$60,'500'!$A:$A,"&lt;="&amp;O$61,'500'!$D:$D,"&lt;"&amp;0)+sumifs('300'!$D:$D,'300'!$B:$B,$D65,'300'!$A:$A,"&gt;="&amp;O$60,'300'!$A:$A,"&lt;="&amp;O$61,'300'!$D:$D,"&lt;"&amp;0)+sumifs('600.VPA'!$D:$D,'600.VPA'!$B:$B,$D65,'600.VPA'!$A:$A,"&gt;="&amp;O$60,'600.VPA'!$A:$A,"&lt;="&amp;O$61,'600.VPA'!$D:$D,"&lt;"&amp;0)</f>
        <v>0</v>
      </c>
      <c r="P65" s="149">
        <f>sumifs(Boss!$D:$D,Boss!$B:$B,$D65,Boss!$A:$A,"&gt;="&amp;P$60,Boss!$A:$A,"&lt;="&amp;P$61,Boss!$D:$D,"&gt;"&amp;0)+sumifs(VPA.Director!$D:$D,VPA.Director!$B:$B,$D65,VPA.Director!$A:$A,"&gt;="&amp;P$60,VPA.Director!$A:$A,"&lt;="&amp;P$61,VPA.Director!$D:$D,"&gt;"&amp;0)+sumifs(ADC.Director!$D:$D,ADC.Director!$B:$B,$D65,ADC.Director!$A:$A,"&gt;="&amp;P$60,ADC.Director!$A:$A,"&lt;="&amp;P$61,ADC.Director!$D:$D,"&gt;"&amp;0)+sumifs('000'!$D:$D,'000'!$B:$B,$D65,'000'!$A:$A,"&gt;="&amp;P$60,'000'!$A:$A,"&lt;="&amp;P$61,'000'!$D:$D,"&gt;"&amp;0)+sumifs('500'!$D:$D,'500'!$B:$B,$D65,'500'!$A:$A,"&gt;="&amp;P$60,'500'!$A:$A,"&lt;="&amp;P$60,'500'!$D:$D,"&gt;"&amp;0)+sumifs('300'!$D:$D,'300'!$B:$B,$D65,'300'!$A:$A,"&gt;="&amp;P$60,'300'!$A:$A,"&lt;="&amp;P$61,'300'!$D:$D,"&gt;"&amp;0)+sumifs('600.VPA'!$D:$D,'600.VPA'!$B:$B,$D65,'600.VPA'!$A:$A,"&gt;="&amp;P$60,'600.VPA'!$A:$A,"&lt;="&amp;P$61,'600.VPA'!$D:$D,"&gt;"&amp;0)</f>
        <v>0</v>
      </c>
      <c r="Q65" s="148">
        <f>sumifs(Boss!$D:$D,Boss!$B:$B,$D65,Boss!$A:$A,"&gt;="&amp;Q$60,Boss!$A:$A,"&lt;="&amp;Q$61,Boss!$D:$D,"&lt;"&amp;0)+sumifs(VPA.Director!$D:$D,VPA.Director!$B:$B,$D65,VPA.Director!$A:$A,"&gt;="&amp;Q$60,VPA.Director!$A:$A,"&lt;="&amp;Q$61,VPA.Director!$D:$D,"&lt;"&amp;0)+sumifs(ADC.Director!$D:$D,ADC.Director!$B:$B,$D65,ADC.Director!$A:$A,"&gt;="&amp;Q$60,ADC.Director!$A:$A,"&lt;="&amp;Q$61,ADC.Director!$D:$D,"&lt;"&amp;0)+sumifs('000'!$D:$D,'000'!$B:$B,$D65,'000'!$A:$A,"&gt;="&amp;Q$60,'000'!$A:$A,"&lt;="&amp;Q$61,'000'!$D:$D,"&lt;"&amp;0)+sumifs('500'!$D:$D,'500'!$B:$B,$D65,'500'!$A:$A,"&gt;="&amp;Q$60,'500'!$A:$A,"&lt;="&amp;Q$61,'500'!$D:$D,"&lt;"&amp;0)+sumifs('300'!$D:$D,'300'!$B:$B,$D65,'300'!$A:$A,"&gt;="&amp;Q$60,'300'!$A:$A,"&lt;="&amp;Q$61,'300'!$D:$D,"&lt;"&amp;0)+sumifs('600.VPA'!$D:$D,'600.VPA'!$B:$B,$D65,'600.VPA'!$A:$A,"&gt;="&amp;Q$60,'600.VPA'!$A:$A,"&lt;="&amp;Q$61,'600.VPA'!$D:$D,"&lt;"&amp;0)</f>
        <v>0</v>
      </c>
      <c r="R65" s="149">
        <f>sumifs(Boss!$D:$D,Boss!$B:$B,$D65,Boss!$A:$A,"&gt;="&amp;R$60,Boss!$A:$A,"&lt;="&amp;R$61,Boss!$D:$D,"&gt;"&amp;0)+sumifs(VPA.Director!$D:$D,VPA.Director!$B:$B,$D65,VPA.Director!$A:$A,"&gt;="&amp;R$60,VPA.Director!$A:$A,"&lt;="&amp;R$61,VPA.Director!$D:$D,"&gt;"&amp;0)+sumifs(ADC.Director!$D:$D,ADC.Director!$B:$B,$D65,ADC.Director!$A:$A,"&gt;="&amp;R$60,ADC.Director!$A:$A,"&lt;="&amp;R$61,ADC.Director!$D:$D,"&gt;"&amp;0)+sumifs('000'!$D:$D,'000'!$B:$B,$D65,'000'!$A:$A,"&gt;="&amp;R$60,'000'!$A:$A,"&lt;="&amp;R$61,'000'!$D:$D,"&gt;"&amp;0)+sumifs('500'!$D:$D,'500'!$B:$B,$D65,'500'!$A:$A,"&gt;="&amp;R$60,'500'!$A:$A,"&lt;="&amp;R$60,'500'!$D:$D,"&gt;"&amp;0)+sumifs('300'!$D:$D,'300'!$B:$B,$D65,'300'!$A:$A,"&gt;="&amp;R$60,'300'!$A:$A,"&lt;="&amp;R$61,'300'!$D:$D,"&gt;"&amp;0)+sumifs('600.VPA'!$D:$D,'600.VPA'!$B:$B,$D65,'600.VPA'!$A:$A,"&gt;="&amp;R$60,'600.VPA'!$A:$A,"&lt;="&amp;R$61,'600.VPA'!$D:$D,"&gt;"&amp;0)</f>
        <v>0</v>
      </c>
      <c r="S65" s="148">
        <f>sumifs(Boss!$D:$D,Boss!$B:$B,$D65,Boss!$A:$A,"&gt;="&amp;S$60,Boss!$A:$A,"&lt;="&amp;S$61,Boss!$D:$D,"&lt;"&amp;0)+sumifs(VPA.Director!$D:$D,VPA.Director!$B:$B,$D65,VPA.Director!$A:$A,"&gt;="&amp;S$60,VPA.Director!$A:$A,"&lt;="&amp;S$61,VPA.Director!$D:$D,"&lt;"&amp;0)+sumifs(ADC.Director!$D:$D,ADC.Director!$B:$B,$D65,ADC.Director!$A:$A,"&gt;="&amp;S$60,ADC.Director!$A:$A,"&lt;="&amp;S$61,ADC.Director!$D:$D,"&lt;"&amp;0)+sumifs('000'!$D:$D,'000'!$B:$B,$D65,'000'!$A:$A,"&gt;="&amp;S$60,'000'!$A:$A,"&lt;="&amp;S$61,'000'!$D:$D,"&lt;"&amp;0)+sumifs('500'!$D:$D,'500'!$B:$B,$D65,'500'!$A:$A,"&gt;="&amp;S$60,'500'!$A:$A,"&lt;="&amp;S$61,'500'!$D:$D,"&lt;"&amp;0)+sumifs('300'!$D:$D,'300'!$B:$B,$D65,'300'!$A:$A,"&gt;="&amp;S$60,'300'!$A:$A,"&lt;="&amp;S$61,'300'!$D:$D,"&lt;"&amp;0)+sumifs('600.VPA'!$D:$D,'600.VPA'!$B:$B,$D65,'600.VPA'!$A:$A,"&gt;="&amp;S$60,'600.VPA'!$A:$A,"&lt;="&amp;S$61,'600.VPA'!$D:$D,"&lt;"&amp;0)</f>
        <v>0</v>
      </c>
      <c r="T65" s="149">
        <f>sumifs(Boss!$D:$D,Boss!$B:$B,$D65,Boss!$A:$A,"&gt;="&amp;T$60,Boss!$A:$A,"&lt;="&amp;T$61,Boss!$D:$D,"&gt;"&amp;0)+sumifs(VPA.Director!$D:$D,VPA.Director!$B:$B,$D65,VPA.Director!$A:$A,"&gt;="&amp;T$60,VPA.Director!$A:$A,"&lt;="&amp;T$61,VPA.Director!$D:$D,"&gt;"&amp;0)+sumifs(ADC.Director!$D:$D,ADC.Director!$B:$B,$D65,ADC.Director!$A:$A,"&gt;="&amp;T$60,ADC.Director!$A:$A,"&lt;="&amp;T$61,ADC.Director!$D:$D,"&gt;"&amp;0)+sumifs('000'!$D:$D,'000'!$B:$B,$D65,'000'!$A:$A,"&gt;="&amp;T$60,'000'!$A:$A,"&lt;="&amp;T$61,'000'!$D:$D,"&gt;"&amp;0)+sumifs('500'!$D:$D,'500'!$B:$B,$D65,'500'!$A:$A,"&gt;="&amp;T$60,'500'!$A:$A,"&lt;="&amp;T$60,'500'!$D:$D,"&gt;"&amp;0)+sumifs('300'!$D:$D,'300'!$B:$B,$D65,'300'!$A:$A,"&gt;="&amp;T$60,'300'!$A:$A,"&lt;="&amp;T$61,'300'!$D:$D,"&gt;"&amp;0)+sumifs('600.VPA'!$D:$D,'600.VPA'!$B:$B,$D65,'600.VPA'!$A:$A,"&gt;="&amp;T$60,'600.VPA'!$A:$A,"&lt;="&amp;T$61,'600.VPA'!$D:$D,"&gt;"&amp;0)</f>
        <v>0</v>
      </c>
      <c r="U65" s="144"/>
      <c r="V65" s="148">
        <f>sumifs(Boss!$D:$D,Boss!$B:$B,$D65,Boss!$A:$A,"&gt;="&amp;V$60,Boss!$A:$A,"&lt;="&amp;V$61,Boss!$D:$D,"&lt;"&amp;0)+sumifs(VPA.Director!$D:$D,VPA.Director!$B:$B,$D65,VPA.Director!$A:$A,"&gt;="&amp;V$60,VPA.Director!$A:$A,"&lt;="&amp;V$61,VPA.Director!$D:$D,"&lt;"&amp;0)+sumifs(ADC.Director!$D:$D,ADC.Director!$B:$B,$D65,ADC.Director!$A:$A,"&gt;="&amp;V$60,ADC.Director!$A:$A,"&lt;="&amp;V$61,ADC.Director!$D:$D,"&lt;"&amp;0)+sumifs('000'!$D:$D,'000'!$B:$B,$D65,'000'!$A:$A,"&gt;="&amp;V$60,'000'!$A:$A,"&lt;="&amp;V$61,'000'!$D:$D,"&lt;"&amp;0)+sumifs('500'!$D:$D,'500'!$B:$B,$D65,'500'!$A:$A,"&gt;="&amp;V$60,'500'!$A:$A,"&lt;="&amp;V$61,'500'!$D:$D,"&lt;"&amp;0)+sumifs('300'!$D:$D,'300'!$B:$B,$D65,'300'!$A:$A,"&gt;="&amp;V$60,'300'!$A:$A,"&lt;="&amp;V$61,'300'!$D:$D,"&lt;"&amp;0)+sumifs('600.VPA'!$D:$D,'600.VPA'!$B:$B,$D65,'600.VPA'!$A:$A,"&gt;="&amp;V$60,'600.VPA'!$A:$A,"&lt;="&amp;V$61,'600.VPA'!$D:$D,"&lt;"&amp;0)</f>
        <v>0</v>
      </c>
      <c r="W65" s="149">
        <f>sumifs(Boss!$D:$D,Boss!$B:$B,$D65,Boss!$A:$A,"&gt;="&amp;W$60,Boss!$A:$A,"&lt;="&amp;W$61,Boss!$D:$D,"&gt;"&amp;0)+sumifs(VPA.Director!$D:$D,VPA.Director!$B:$B,$D65,VPA.Director!$A:$A,"&gt;="&amp;W$60,VPA.Director!$A:$A,"&lt;="&amp;W$61,VPA.Director!$D:$D,"&gt;"&amp;0)+sumifs(ADC.Director!$D:$D,ADC.Director!$B:$B,$D65,ADC.Director!$A:$A,"&gt;="&amp;W$60,ADC.Director!$A:$A,"&lt;="&amp;W$61,ADC.Director!$D:$D,"&gt;"&amp;0)+sumifs('000'!$D:$D,'000'!$B:$B,$D65,'000'!$A:$A,"&gt;="&amp;W$60,'000'!$A:$A,"&lt;="&amp;W$61,'000'!$D:$D,"&gt;"&amp;0)+sumifs('500'!$D:$D,'500'!$B:$B,$D65,'500'!$A:$A,"&gt;="&amp;W$60,'500'!$A:$A,"&lt;="&amp;W$60,'500'!$D:$D,"&gt;"&amp;0)+sumifs('300'!$D:$D,'300'!$B:$B,$D65,'300'!$A:$A,"&gt;="&amp;W$60,'300'!$A:$A,"&lt;="&amp;W$61,'300'!$D:$D,"&gt;"&amp;0)+sumifs('600.VPA'!$D:$D,'600.VPA'!$B:$B,$D65,'600.VPA'!$A:$A,"&gt;="&amp;W$60,'600.VPA'!$A:$A,"&lt;="&amp;W$61,'600.VPA'!$D:$D,"&gt;"&amp;0)</f>
        <v>0</v>
      </c>
      <c r="X65" s="148">
        <f>sumifs(Boss!$D:$D,Boss!$B:$B,$D65,Boss!$A:$A,"&gt;="&amp;X$60,Boss!$A:$A,"&lt;="&amp;X$61,Boss!$D:$D,"&lt;"&amp;0)+sumifs(VPA.Director!$D:$D,VPA.Director!$B:$B,$D65,VPA.Director!$A:$A,"&gt;="&amp;X$60,VPA.Director!$A:$A,"&lt;="&amp;X$61,VPA.Director!$D:$D,"&lt;"&amp;0)+sumifs(ADC.Director!$D:$D,ADC.Director!$B:$B,$D65,ADC.Director!$A:$A,"&gt;="&amp;X$60,ADC.Director!$A:$A,"&lt;="&amp;X$61,ADC.Director!$D:$D,"&lt;"&amp;0)+sumifs('000'!$D:$D,'000'!$B:$B,$D65,'000'!$A:$A,"&gt;="&amp;X$60,'000'!$A:$A,"&lt;="&amp;X$61,'000'!$D:$D,"&lt;"&amp;0)+sumifs('500'!$D:$D,'500'!$B:$B,$D65,'500'!$A:$A,"&gt;="&amp;X$60,'500'!$A:$A,"&lt;="&amp;X$61,'500'!$D:$D,"&lt;"&amp;0)+sumifs('300'!$D:$D,'300'!$B:$B,$D65,'300'!$A:$A,"&gt;="&amp;X$60,'300'!$A:$A,"&lt;="&amp;X$61,'300'!$D:$D,"&lt;"&amp;0)+sumifs('600.VPA'!$D:$D,'600.VPA'!$B:$B,$D65,'600.VPA'!$A:$A,"&gt;="&amp;X$60,'600.VPA'!$A:$A,"&lt;="&amp;X$61,'600.VPA'!$D:$D,"&lt;"&amp;0)</f>
        <v>0</v>
      </c>
      <c r="Y65" s="149">
        <f>sumifs(Boss!$D:$D,Boss!$B:$B,$D65,Boss!$A:$A,"&gt;="&amp;Y$60,Boss!$A:$A,"&lt;="&amp;Y$61,Boss!$D:$D,"&gt;"&amp;0)+sumifs(VPA.Director!$D:$D,VPA.Director!$B:$B,$D65,VPA.Director!$A:$A,"&gt;="&amp;Y$60,VPA.Director!$A:$A,"&lt;="&amp;Y$61,VPA.Director!$D:$D,"&gt;"&amp;0)+sumifs(ADC.Director!$D:$D,ADC.Director!$B:$B,$D65,ADC.Director!$A:$A,"&gt;="&amp;Y$60,ADC.Director!$A:$A,"&lt;="&amp;Y$61,ADC.Director!$D:$D,"&gt;"&amp;0)+sumifs('000'!$D:$D,'000'!$B:$B,$D65,'000'!$A:$A,"&gt;="&amp;Y$60,'000'!$A:$A,"&lt;="&amp;Y$61,'000'!$D:$D,"&gt;"&amp;0)+sumifs('500'!$D:$D,'500'!$B:$B,$D65,'500'!$A:$A,"&gt;="&amp;Y$60,'500'!$A:$A,"&lt;="&amp;Y$60,'500'!$D:$D,"&gt;"&amp;0)+sumifs('300'!$D:$D,'300'!$B:$B,$D65,'300'!$A:$A,"&gt;="&amp;Y$60,'300'!$A:$A,"&lt;="&amp;Y$61,'300'!$D:$D,"&gt;"&amp;0)+sumifs('600.VPA'!$D:$D,'600.VPA'!$B:$B,$D65,'600.VPA'!$A:$A,"&gt;="&amp;Y$60,'600.VPA'!$A:$A,"&lt;="&amp;Y$61,'600.VPA'!$D:$D,"&gt;"&amp;0)</f>
        <v>0</v>
      </c>
      <c r="Z65" s="148">
        <f>sumifs(Boss!$D:$D,Boss!$B:$B,$D65,Boss!$A:$A,"&gt;="&amp;Z$60,Boss!$A:$A,"&lt;="&amp;Z$61,Boss!$D:$D,"&lt;"&amp;0)+sumifs(VPA.Director!$D:$D,VPA.Director!$B:$B,$D65,VPA.Director!$A:$A,"&gt;="&amp;Z$60,VPA.Director!$A:$A,"&lt;="&amp;Z$61,VPA.Director!$D:$D,"&lt;"&amp;0)+sumifs(ADC.Director!$D:$D,ADC.Director!$B:$B,$D65,ADC.Director!$A:$A,"&gt;="&amp;Z$60,ADC.Director!$A:$A,"&lt;="&amp;Z$61,ADC.Director!$D:$D,"&lt;"&amp;0)+sumifs('000'!$D:$D,'000'!$B:$B,$D65,'000'!$A:$A,"&gt;="&amp;Z$60,'000'!$A:$A,"&lt;="&amp;Z$61,'000'!$D:$D,"&lt;"&amp;0)+sumifs('500'!$D:$D,'500'!$B:$B,$D65,'500'!$A:$A,"&gt;="&amp;Z$60,'500'!$A:$A,"&lt;="&amp;Z$61,'500'!$D:$D,"&lt;"&amp;0)+sumifs('300'!$D:$D,'300'!$B:$B,$D65,'300'!$A:$A,"&gt;="&amp;Z$60,'300'!$A:$A,"&lt;="&amp;Z$61,'300'!$D:$D,"&lt;"&amp;0)+sumifs('600.VPA'!$D:$D,'600.VPA'!$B:$B,$D65,'600.VPA'!$A:$A,"&gt;="&amp;Z$60,'600.VPA'!$A:$A,"&lt;="&amp;Z$61,'600.VPA'!$D:$D,"&lt;"&amp;0)</f>
        <v>0</v>
      </c>
      <c r="AA65" s="149">
        <f>sumifs(Boss!$D:$D,Boss!$B:$B,$D65,Boss!$A:$A,"&gt;="&amp;AA$60,Boss!$A:$A,"&lt;="&amp;AA$61,Boss!$D:$D,"&gt;"&amp;0)+sumifs(VPA.Director!$D:$D,VPA.Director!$B:$B,$D65,VPA.Director!$A:$A,"&gt;="&amp;AA$60,VPA.Director!$A:$A,"&lt;="&amp;AA$61,VPA.Director!$D:$D,"&gt;"&amp;0)+sumifs(ADC.Director!$D:$D,ADC.Director!$B:$B,$D65,ADC.Director!$A:$A,"&gt;="&amp;AA$60,ADC.Director!$A:$A,"&lt;="&amp;AA$61,ADC.Director!$D:$D,"&gt;"&amp;0)+sumifs('000'!$D:$D,'000'!$B:$B,$D65,'000'!$A:$A,"&gt;="&amp;AA$60,'000'!$A:$A,"&lt;="&amp;AA$61,'000'!$D:$D,"&gt;"&amp;0)+sumifs('500'!$D:$D,'500'!$B:$B,$D65,'500'!$A:$A,"&gt;="&amp;AA$60,'500'!$A:$A,"&lt;="&amp;AA$60,'500'!$D:$D,"&gt;"&amp;0)+sumifs('300'!$D:$D,'300'!$B:$B,$D65,'300'!$A:$A,"&gt;="&amp;AA$60,'300'!$A:$A,"&lt;="&amp;AA$61,'300'!$D:$D,"&gt;"&amp;0)+sumifs('600.VPA'!$D:$D,'600.VPA'!$B:$B,$D65,'600.VPA'!$A:$A,"&gt;="&amp;AA$60,'600.VPA'!$A:$A,"&lt;="&amp;AA$61,'600.VPA'!$D:$D,"&gt;"&amp;0)</f>
        <v>0</v>
      </c>
      <c r="AB65" s="148">
        <f>sumifs(Boss!$D:$D,Boss!$B:$B,$D65,Boss!$A:$A,"&gt;="&amp;AB$60,Boss!$A:$A,"&lt;="&amp;AB$61,Boss!$D:$D,"&lt;"&amp;0)+sumifs(VPA.Director!$D:$D,VPA.Director!$B:$B,$D65,VPA.Director!$A:$A,"&gt;="&amp;AB$60,VPA.Director!$A:$A,"&lt;="&amp;AB$61,VPA.Director!$D:$D,"&lt;"&amp;0)+sumifs(ADC.Director!$D:$D,ADC.Director!$B:$B,$D65,ADC.Director!$A:$A,"&gt;="&amp;AB$60,ADC.Director!$A:$A,"&lt;="&amp;AB$61,ADC.Director!$D:$D,"&lt;"&amp;0)+sumifs('000'!$D:$D,'000'!$B:$B,$D65,'000'!$A:$A,"&gt;="&amp;AB$60,'000'!$A:$A,"&lt;="&amp;AB$61,'000'!$D:$D,"&lt;"&amp;0)+sumifs('500'!$D:$D,'500'!$B:$B,$D65,'500'!$A:$A,"&gt;="&amp;AB$60,'500'!$A:$A,"&lt;="&amp;AB$61,'500'!$D:$D,"&lt;"&amp;0)+sumifs('300'!$D:$D,'300'!$B:$B,$D65,'300'!$A:$A,"&gt;="&amp;AB$60,'300'!$A:$A,"&lt;="&amp;AB$61,'300'!$D:$D,"&lt;"&amp;0)+sumifs('600.VPA'!$D:$D,'600.VPA'!$B:$B,$D65,'600.VPA'!$A:$A,"&gt;="&amp;AB$60,'600.VPA'!$A:$A,"&lt;="&amp;AB$61,'600.VPA'!$D:$D,"&lt;"&amp;0)</f>
        <v>0</v>
      </c>
      <c r="AC65" s="149">
        <f>sumifs(Boss!$D:$D,Boss!$B:$B,$D65,Boss!$A:$A,"&gt;="&amp;AC$60,Boss!$A:$A,"&lt;="&amp;AC$61,Boss!$D:$D,"&gt;"&amp;0)+sumifs(VPA.Director!$D:$D,VPA.Director!$B:$B,$D65,VPA.Director!$A:$A,"&gt;="&amp;AC$60,VPA.Director!$A:$A,"&lt;="&amp;AC$61,VPA.Director!$D:$D,"&gt;"&amp;0)+sumifs(ADC.Director!$D:$D,ADC.Director!$B:$B,$D65,ADC.Director!$A:$A,"&gt;="&amp;AC$60,ADC.Director!$A:$A,"&lt;="&amp;AC$61,ADC.Director!$D:$D,"&gt;"&amp;0)+sumifs('000'!$D:$D,'000'!$B:$B,$D65,'000'!$A:$A,"&gt;="&amp;AC$60,'000'!$A:$A,"&lt;="&amp;AC$61,'000'!$D:$D,"&gt;"&amp;0)+sumifs('500'!$D:$D,'500'!$B:$B,$D65,'500'!$A:$A,"&gt;="&amp;AC$60,'500'!$A:$A,"&lt;="&amp;AC$60,'500'!$D:$D,"&gt;"&amp;0)+sumifs('300'!$D:$D,'300'!$B:$B,$D65,'300'!$A:$A,"&gt;="&amp;AC$60,'300'!$A:$A,"&lt;="&amp;AC$61,'300'!$D:$D,"&gt;"&amp;0)+sumifs('600.VPA'!$D:$D,'600.VPA'!$B:$B,$D65,'600.VPA'!$A:$A,"&gt;="&amp;AC$60,'600.VPA'!$A:$A,"&lt;="&amp;AC$61,'600.VPA'!$D:$D,"&gt;"&amp;0)</f>
        <v>0</v>
      </c>
      <c r="AD65" s="148">
        <f>sumifs(Boss!$D:$D,Boss!$B:$B,$D65,Boss!$A:$A,"&gt;="&amp;AD$60,Boss!$A:$A,"&lt;="&amp;AD$61,Boss!$D:$D,"&lt;"&amp;0)+sumifs(VPA.Director!$D:$D,VPA.Director!$B:$B,$D65,VPA.Director!$A:$A,"&gt;="&amp;AD$60,VPA.Director!$A:$A,"&lt;="&amp;AD$61,VPA.Director!$D:$D,"&lt;"&amp;0)+sumifs(ADC.Director!$D:$D,ADC.Director!$B:$B,$D65,ADC.Director!$A:$A,"&gt;="&amp;AD$60,ADC.Director!$A:$A,"&lt;="&amp;AD$61,ADC.Director!$D:$D,"&lt;"&amp;0)+sumifs('000'!$D:$D,'000'!$B:$B,$D65,'000'!$A:$A,"&gt;="&amp;AD$60,'000'!$A:$A,"&lt;="&amp;AD$61,'000'!$D:$D,"&lt;"&amp;0)+sumifs('500'!$D:$D,'500'!$B:$B,$D65,'500'!$A:$A,"&gt;="&amp;AD$60,'500'!$A:$A,"&lt;="&amp;AD$61,'500'!$D:$D,"&lt;"&amp;0)+sumifs('300'!$D:$D,'300'!$B:$B,$D65,'300'!$A:$A,"&gt;="&amp;AD$60,'300'!$A:$A,"&lt;="&amp;AD$61,'300'!$D:$D,"&lt;"&amp;0)+sumifs('600.VPA'!$D:$D,'600.VPA'!$B:$B,$D65,'600.VPA'!$A:$A,"&gt;="&amp;AD$60,'600.VPA'!$A:$A,"&lt;="&amp;AD$61,'600.VPA'!$D:$D,"&lt;"&amp;0)</f>
        <v>0</v>
      </c>
      <c r="AE65" s="149">
        <f>sumifs(Boss!$D:$D,Boss!$B:$B,$D65,Boss!$A:$A,"&gt;="&amp;AE$60,Boss!$A:$A,"&lt;="&amp;AE$61,Boss!$D:$D,"&gt;"&amp;0)+sumifs(VPA.Director!$D:$D,VPA.Director!$B:$B,$D65,VPA.Director!$A:$A,"&gt;="&amp;AE$60,VPA.Director!$A:$A,"&lt;="&amp;AE$61,VPA.Director!$D:$D,"&gt;"&amp;0)+sumifs(ADC.Director!$D:$D,ADC.Director!$B:$B,$D65,ADC.Director!$A:$A,"&gt;="&amp;AE$60,ADC.Director!$A:$A,"&lt;="&amp;AE$61,ADC.Director!$D:$D,"&gt;"&amp;0)+sumifs('000'!$D:$D,'000'!$B:$B,$D65,'000'!$A:$A,"&gt;="&amp;AE$60,'000'!$A:$A,"&lt;="&amp;AE$61,'000'!$D:$D,"&gt;"&amp;0)+sumifs('500'!$D:$D,'500'!$B:$B,$D65,'500'!$A:$A,"&gt;="&amp;AE$60,'500'!$A:$A,"&lt;="&amp;AE$60,'500'!$D:$D,"&gt;"&amp;0)+sumifs('300'!$D:$D,'300'!$B:$B,$D65,'300'!$A:$A,"&gt;="&amp;AE$60,'300'!$A:$A,"&lt;="&amp;AE$61,'300'!$D:$D,"&gt;"&amp;0)+sumifs('600.VPA'!$D:$D,'600.VPA'!$B:$B,$D65,'600.VPA'!$A:$A,"&gt;="&amp;AE$60,'600.VPA'!$A:$A,"&lt;="&amp;AE$61,'600.VPA'!$D:$D,"&gt;"&amp;0)</f>
        <v>0</v>
      </c>
      <c r="AF65" s="148">
        <f>sumifs(Boss!$D:$D,Boss!$B:$B,$D65,Boss!$A:$A,"&gt;="&amp;AF$60,Boss!$A:$A,"&lt;="&amp;AF$61,Boss!$D:$D,"&lt;"&amp;0)+sumifs(VPA.Director!$D:$D,VPA.Director!$B:$B,$D65,VPA.Director!$A:$A,"&gt;="&amp;AF$60,VPA.Director!$A:$A,"&lt;="&amp;AF$61,VPA.Director!$D:$D,"&lt;"&amp;0)+sumifs(ADC.Director!$D:$D,ADC.Director!$B:$B,$D65,ADC.Director!$A:$A,"&gt;="&amp;AF$60,ADC.Director!$A:$A,"&lt;="&amp;AF$61,ADC.Director!$D:$D,"&lt;"&amp;0)+sumifs('000'!$D:$D,'000'!$B:$B,$D65,'000'!$A:$A,"&gt;="&amp;AF$60,'000'!$A:$A,"&lt;="&amp;AF$61,'000'!$D:$D,"&lt;"&amp;0)+sumifs('500'!$D:$D,'500'!$B:$B,$D65,'500'!$A:$A,"&gt;="&amp;AF$60,'500'!$A:$A,"&lt;="&amp;AF$61,'500'!$D:$D,"&lt;"&amp;0)+sumifs('300'!$D:$D,'300'!$B:$B,$D65,'300'!$A:$A,"&gt;="&amp;AF$60,'300'!$A:$A,"&lt;="&amp;AF$61,'300'!$D:$D,"&lt;"&amp;0)+sumifs('600.VPA'!$D:$D,'600.VPA'!$B:$B,$D65,'600.VPA'!$A:$A,"&gt;="&amp;AF$60,'600.VPA'!$A:$A,"&lt;="&amp;AF$61,'600.VPA'!$D:$D,"&lt;"&amp;0)</f>
        <v>0</v>
      </c>
      <c r="AG65" s="149">
        <f>sumifs(Boss!$D:$D,Boss!$B:$B,$D65,Boss!$A:$A,"&gt;="&amp;AG$60,Boss!$A:$A,"&lt;="&amp;AG$61,Boss!$D:$D,"&gt;"&amp;0)+sumifs(VPA.Director!$D:$D,VPA.Director!$B:$B,$D65,VPA.Director!$A:$A,"&gt;="&amp;AG$60,VPA.Director!$A:$A,"&lt;="&amp;AG$61,VPA.Director!$D:$D,"&gt;"&amp;0)+sumifs(ADC.Director!$D:$D,ADC.Director!$B:$B,$D65,ADC.Director!$A:$A,"&gt;="&amp;AG$60,ADC.Director!$A:$A,"&lt;="&amp;AG$61,ADC.Director!$D:$D,"&gt;"&amp;0)+sumifs('000'!$D:$D,'000'!$B:$B,$D65,'000'!$A:$A,"&gt;="&amp;AG$60,'000'!$A:$A,"&lt;="&amp;AG$61,'000'!$D:$D,"&gt;"&amp;0)+sumifs('500'!$D:$D,'500'!$B:$B,$D65,'500'!$A:$A,"&gt;="&amp;AG$60,'500'!$A:$A,"&lt;="&amp;AG$60,'500'!$D:$D,"&gt;"&amp;0)+sumifs('300'!$D:$D,'300'!$B:$B,$D65,'300'!$A:$A,"&gt;="&amp;AG$60,'300'!$A:$A,"&lt;="&amp;AG$61,'300'!$D:$D,"&gt;"&amp;0)+sumifs('600.VPA'!$D:$D,'600.VPA'!$B:$B,$D65,'600.VPA'!$A:$A,"&gt;="&amp;AG$60,'600.VPA'!$A:$A,"&lt;="&amp;AG$61,'600.VPA'!$D:$D,"&gt;"&amp;0)</f>
        <v>0</v>
      </c>
      <c r="AH65" s="150">
        <f t="shared" ref="AH65:AI65" si="3">sum(I65,K65,M65,O65,Q65,S65,V65,X65,Z65,AB65,AD65,AF65)</f>
        <v>0</v>
      </c>
      <c r="AI65" s="151">
        <f t="shared" si="3"/>
        <v>0</v>
      </c>
      <c r="AJ65" s="150">
        <f t="shared" si="4"/>
        <v>0</v>
      </c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</row>
    <row r="66">
      <c r="A66" s="86"/>
      <c r="B66" s="144"/>
      <c r="D66" s="146" t="s">
        <v>46</v>
      </c>
      <c r="E66" s="147" t="s">
        <v>5</v>
      </c>
      <c r="F66" s="146" t="s">
        <v>137</v>
      </c>
      <c r="G66" s="146" t="s">
        <v>48</v>
      </c>
      <c r="H66" s="146" t="s">
        <v>49</v>
      </c>
      <c r="I66" s="148">
        <f>sumifs(Boss!$D:$D,Boss!$B:$B,$D66,Boss!$A:$A,"&gt;="&amp;I$60,Boss!$A:$A,"&lt;="&amp;I$61,Boss!$D:$D,"&lt;"&amp;0)+sumifs(VPA.Director!$D:$D,VPA.Director!$B:$B,$D66,VPA.Director!$A:$A,"&gt;="&amp;I$60,VPA.Director!$A:$A,"&lt;="&amp;I$61,VPA.Director!$D:$D,"&lt;"&amp;0)+sumifs(ADC.Director!$D:$D,ADC.Director!$B:$B,$D66,ADC.Director!$A:$A,"&gt;="&amp;I$60,ADC.Director!$A:$A,"&lt;="&amp;I$61,ADC.Director!$D:$D,"&lt;"&amp;0)+sumifs('000'!$D:$D,'000'!$B:$B,$D66,'000'!$A:$A,"&gt;="&amp;I$60,'000'!$A:$A,"&lt;="&amp;I$61,'000'!$D:$D,"&lt;"&amp;0)+sumifs('500'!$D:$D,'500'!$B:$B,$D66,'500'!$A:$A,"&gt;="&amp;I$60,'500'!$A:$A,"&lt;="&amp;I$61,'500'!$D:$D,"&lt;"&amp;0)+sumifs('300'!$D:$D,'300'!$B:$B,$D66,'300'!$A:$A,"&gt;="&amp;I$60,'300'!$A:$A,"&lt;="&amp;I$61,'300'!$D:$D,"&lt;"&amp;0)+sumifs('600.VPA'!$D:$D,'600.VPA'!$B:$B,$D66,'600.VPA'!$A:$A,"&gt;="&amp;I$60,'600.VPA'!$A:$A,"&lt;="&amp;I$61,'600.VPA'!$D:$D,"&lt;"&amp;0)</f>
        <v>0</v>
      </c>
      <c r="J66" s="149">
        <f>sumifs(Boss!$D:$D,Boss!$B:$B,$D66,Boss!$A:$A,"&gt;="&amp;J$60,Boss!$A:$A,"&lt;="&amp;J$61,Boss!$D:$D,"&gt;"&amp;0)+sumifs(VPA.Director!$D:$D,VPA.Director!$B:$B,$D66,VPA.Director!$A:$A,"&gt;="&amp;J$60,VPA.Director!$A:$A,"&lt;="&amp;J$61,VPA.Director!$D:$D,"&gt;"&amp;0)+sumifs(ADC.Director!$D:$D,ADC.Director!$B:$B,$D66,ADC.Director!$A:$A,"&gt;="&amp;J$60,ADC.Director!$A:$A,"&lt;="&amp;J$61,ADC.Director!$D:$D,"&gt;"&amp;0)+sumifs('000'!$D:$D,'000'!$B:$B,$D66,'000'!$A:$A,"&gt;="&amp;J$60,'000'!$A:$A,"&lt;="&amp;J$61,'000'!$D:$D,"&gt;"&amp;0)+sumifs('500'!$D:$D,'500'!$B:$B,$D66,'500'!$A:$A,"&gt;="&amp;J$60,'500'!$A:$A,"&lt;="&amp;J$60,'500'!$D:$D,"&gt;"&amp;0)+sumifs('300'!$D:$D,'300'!$B:$B,$D66,'300'!$A:$A,"&gt;="&amp;J$60,'300'!$A:$A,"&lt;="&amp;J$61,'300'!$D:$D,"&gt;"&amp;0)+sumifs('600.VPA'!$D:$D,'600.VPA'!$B:$B,$D66,'600.VPA'!$A:$A,"&gt;="&amp;J$60,'600.VPA'!$A:$A,"&lt;="&amp;J$61,'600.VPA'!$D:$D,"&gt;"&amp;0)</f>
        <v>0</v>
      </c>
      <c r="K66" s="148">
        <f>sumifs(Boss!$D:$D,Boss!$B:$B,$D66,Boss!$A:$A,"&gt;="&amp;K$60,Boss!$A:$A,"&lt;="&amp;K$61,Boss!$D:$D,"&lt;"&amp;0)+sumifs(VPA.Director!$D:$D,VPA.Director!$B:$B,$D66,VPA.Director!$A:$A,"&gt;="&amp;K$60,VPA.Director!$A:$A,"&lt;="&amp;K$61,VPA.Director!$D:$D,"&lt;"&amp;0)+sumifs(ADC.Director!$D:$D,ADC.Director!$B:$B,$D66,ADC.Director!$A:$A,"&gt;="&amp;K$60,ADC.Director!$A:$A,"&lt;="&amp;K$61,ADC.Director!$D:$D,"&lt;"&amp;0)+sumifs('000'!$D:$D,'000'!$B:$B,$D66,'000'!$A:$A,"&gt;="&amp;K$60,'000'!$A:$A,"&lt;="&amp;K$61,'000'!$D:$D,"&lt;"&amp;0)+sumifs('500'!$D:$D,'500'!$B:$B,$D66,'500'!$A:$A,"&gt;="&amp;K$60,'500'!$A:$A,"&lt;="&amp;K$61,'500'!$D:$D,"&lt;"&amp;0)+sumifs('300'!$D:$D,'300'!$B:$B,$D66,'300'!$A:$A,"&gt;="&amp;K$60,'300'!$A:$A,"&lt;="&amp;K$61,'300'!$D:$D,"&lt;"&amp;0)+sumifs('600.VPA'!$D:$D,'600.VPA'!$B:$B,$D66,'600.VPA'!$A:$A,"&gt;="&amp;K$60,'600.VPA'!$A:$A,"&lt;="&amp;K$61,'600.VPA'!$D:$D,"&lt;"&amp;0)</f>
        <v>0</v>
      </c>
      <c r="L66" s="149">
        <f>sumifs(Boss!$D:$D,Boss!$B:$B,$D66,Boss!$A:$A,"&gt;="&amp;L$60,Boss!$A:$A,"&lt;="&amp;L$61,Boss!$D:$D,"&gt;"&amp;0)+sumifs(VPA.Director!$D:$D,VPA.Director!$B:$B,$D66,VPA.Director!$A:$A,"&gt;="&amp;L$60,VPA.Director!$A:$A,"&lt;="&amp;L$61,VPA.Director!$D:$D,"&gt;"&amp;0)+sumifs(ADC.Director!$D:$D,ADC.Director!$B:$B,$D66,ADC.Director!$A:$A,"&gt;="&amp;L$60,ADC.Director!$A:$A,"&lt;="&amp;L$61,ADC.Director!$D:$D,"&gt;"&amp;0)+sumifs('000'!$D:$D,'000'!$B:$B,$D66,'000'!$A:$A,"&gt;="&amp;L$60,'000'!$A:$A,"&lt;="&amp;L$61,'000'!$D:$D,"&gt;"&amp;0)+sumifs('500'!$D:$D,'500'!$B:$B,$D66,'500'!$A:$A,"&gt;="&amp;L$60,'500'!$A:$A,"&lt;="&amp;L$60,'500'!$D:$D,"&gt;"&amp;0)+sumifs('300'!$D:$D,'300'!$B:$B,$D66,'300'!$A:$A,"&gt;="&amp;L$60,'300'!$A:$A,"&lt;="&amp;L$61,'300'!$D:$D,"&gt;"&amp;0)+sumifs('600.VPA'!$D:$D,'600.VPA'!$B:$B,$D66,'600.VPA'!$A:$A,"&gt;="&amp;L$60,'600.VPA'!$A:$A,"&lt;="&amp;L$61,'600.VPA'!$D:$D,"&gt;"&amp;0)</f>
        <v>0</v>
      </c>
      <c r="M66" s="148">
        <f>sumifs(Boss!$D:$D,Boss!$B:$B,$D66,Boss!$A:$A,"&gt;="&amp;M$60,Boss!$A:$A,"&lt;="&amp;M$61,Boss!$D:$D,"&lt;"&amp;0)+sumifs(VPA.Director!$D:$D,VPA.Director!$B:$B,$D66,VPA.Director!$A:$A,"&gt;="&amp;M$60,VPA.Director!$A:$A,"&lt;="&amp;M$61,VPA.Director!$D:$D,"&lt;"&amp;0)+sumifs(ADC.Director!$D:$D,ADC.Director!$B:$B,$D66,ADC.Director!$A:$A,"&gt;="&amp;M$60,ADC.Director!$A:$A,"&lt;="&amp;M$61,ADC.Director!$D:$D,"&lt;"&amp;0)+sumifs('000'!$D:$D,'000'!$B:$B,$D66,'000'!$A:$A,"&gt;="&amp;M$60,'000'!$A:$A,"&lt;="&amp;M$61,'000'!$D:$D,"&lt;"&amp;0)+sumifs('500'!$D:$D,'500'!$B:$B,$D66,'500'!$A:$A,"&gt;="&amp;M$60,'500'!$A:$A,"&lt;="&amp;M$61,'500'!$D:$D,"&lt;"&amp;0)+sumifs('300'!$D:$D,'300'!$B:$B,$D66,'300'!$A:$A,"&gt;="&amp;M$60,'300'!$A:$A,"&lt;="&amp;M$61,'300'!$D:$D,"&lt;"&amp;0)+sumifs('600.VPA'!$D:$D,'600.VPA'!$B:$B,$D66,'600.VPA'!$A:$A,"&gt;="&amp;M$60,'600.VPA'!$A:$A,"&lt;="&amp;M$61,'600.VPA'!$D:$D,"&lt;"&amp;0)</f>
        <v>0</v>
      </c>
      <c r="N66" s="149">
        <f>sumifs(Boss!$D:$D,Boss!$B:$B,$D66,Boss!$A:$A,"&gt;="&amp;N$60,Boss!$A:$A,"&lt;="&amp;N$61,Boss!$D:$D,"&gt;"&amp;0)+sumifs(VPA.Director!$D:$D,VPA.Director!$B:$B,$D66,VPA.Director!$A:$A,"&gt;="&amp;N$60,VPA.Director!$A:$A,"&lt;="&amp;N$61,VPA.Director!$D:$D,"&gt;"&amp;0)+sumifs(ADC.Director!$D:$D,ADC.Director!$B:$B,$D66,ADC.Director!$A:$A,"&gt;="&amp;N$60,ADC.Director!$A:$A,"&lt;="&amp;N$61,ADC.Director!$D:$D,"&gt;"&amp;0)+sumifs('000'!$D:$D,'000'!$B:$B,$D66,'000'!$A:$A,"&gt;="&amp;N$60,'000'!$A:$A,"&lt;="&amp;N$61,'000'!$D:$D,"&gt;"&amp;0)+sumifs('500'!$D:$D,'500'!$B:$B,$D66,'500'!$A:$A,"&gt;="&amp;N$60,'500'!$A:$A,"&lt;="&amp;N$60,'500'!$D:$D,"&gt;"&amp;0)+sumifs('300'!$D:$D,'300'!$B:$B,$D66,'300'!$A:$A,"&gt;="&amp;N$60,'300'!$A:$A,"&lt;="&amp;N$61,'300'!$D:$D,"&gt;"&amp;0)+sumifs('600.VPA'!$D:$D,'600.VPA'!$B:$B,$D66,'600.VPA'!$A:$A,"&gt;="&amp;N$60,'600.VPA'!$A:$A,"&lt;="&amp;N$61,'600.VPA'!$D:$D,"&gt;"&amp;0)</f>
        <v>0</v>
      </c>
      <c r="O66" s="148">
        <f>sumifs(Boss!$D:$D,Boss!$B:$B,$D66,Boss!$A:$A,"&gt;="&amp;O$60,Boss!$A:$A,"&lt;="&amp;O$61,Boss!$D:$D,"&lt;"&amp;0)+sumifs(VPA.Director!$D:$D,VPA.Director!$B:$B,$D66,VPA.Director!$A:$A,"&gt;="&amp;O$60,VPA.Director!$A:$A,"&lt;="&amp;O$61,VPA.Director!$D:$D,"&lt;"&amp;0)+sumifs(ADC.Director!$D:$D,ADC.Director!$B:$B,$D66,ADC.Director!$A:$A,"&gt;="&amp;O$60,ADC.Director!$A:$A,"&lt;="&amp;O$61,ADC.Director!$D:$D,"&lt;"&amp;0)+sumifs('000'!$D:$D,'000'!$B:$B,$D66,'000'!$A:$A,"&gt;="&amp;O$60,'000'!$A:$A,"&lt;="&amp;O$61,'000'!$D:$D,"&lt;"&amp;0)+sumifs('500'!$D:$D,'500'!$B:$B,$D66,'500'!$A:$A,"&gt;="&amp;O$60,'500'!$A:$A,"&lt;="&amp;O$61,'500'!$D:$D,"&lt;"&amp;0)+sumifs('300'!$D:$D,'300'!$B:$B,$D66,'300'!$A:$A,"&gt;="&amp;O$60,'300'!$A:$A,"&lt;="&amp;O$61,'300'!$D:$D,"&lt;"&amp;0)+sumifs('600.VPA'!$D:$D,'600.VPA'!$B:$B,$D66,'600.VPA'!$A:$A,"&gt;="&amp;O$60,'600.VPA'!$A:$A,"&lt;="&amp;O$61,'600.VPA'!$D:$D,"&lt;"&amp;0)</f>
        <v>0</v>
      </c>
      <c r="P66" s="149">
        <f>sumifs(Boss!$D:$D,Boss!$B:$B,$D66,Boss!$A:$A,"&gt;="&amp;P$60,Boss!$A:$A,"&lt;="&amp;P$61,Boss!$D:$D,"&gt;"&amp;0)+sumifs(VPA.Director!$D:$D,VPA.Director!$B:$B,$D66,VPA.Director!$A:$A,"&gt;="&amp;P$60,VPA.Director!$A:$A,"&lt;="&amp;P$61,VPA.Director!$D:$D,"&gt;"&amp;0)+sumifs(ADC.Director!$D:$D,ADC.Director!$B:$B,$D66,ADC.Director!$A:$A,"&gt;="&amp;P$60,ADC.Director!$A:$A,"&lt;="&amp;P$61,ADC.Director!$D:$D,"&gt;"&amp;0)+sumifs('000'!$D:$D,'000'!$B:$B,$D66,'000'!$A:$A,"&gt;="&amp;P$60,'000'!$A:$A,"&lt;="&amp;P$61,'000'!$D:$D,"&gt;"&amp;0)+sumifs('500'!$D:$D,'500'!$B:$B,$D66,'500'!$A:$A,"&gt;="&amp;P$60,'500'!$A:$A,"&lt;="&amp;P$60,'500'!$D:$D,"&gt;"&amp;0)+sumifs('300'!$D:$D,'300'!$B:$B,$D66,'300'!$A:$A,"&gt;="&amp;P$60,'300'!$A:$A,"&lt;="&amp;P$61,'300'!$D:$D,"&gt;"&amp;0)+sumifs('600.VPA'!$D:$D,'600.VPA'!$B:$B,$D66,'600.VPA'!$A:$A,"&gt;="&amp;P$60,'600.VPA'!$A:$A,"&lt;="&amp;P$61,'600.VPA'!$D:$D,"&gt;"&amp;0)</f>
        <v>0</v>
      </c>
      <c r="Q66" s="148">
        <f>sumifs(Boss!$D:$D,Boss!$B:$B,$D66,Boss!$A:$A,"&gt;="&amp;Q$60,Boss!$A:$A,"&lt;="&amp;Q$61,Boss!$D:$D,"&lt;"&amp;0)+sumifs(VPA.Director!$D:$D,VPA.Director!$B:$B,$D66,VPA.Director!$A:$A,"&gt;="&amp;Q$60,VPA.Director!$A:$A,"&lt;="&amp;Q$61,VPA.Director!$D:$D,"&lt;"&amp;0)+sumifs(ADC.Director!$D:$D,ADC.Director!$B:$B,$D66,ADC.Director!$A:$A,"&gt;="&amp;Q$60,ADC.Director!$A:$A,"&lt;="&amp;Q$61,ADC.Director!$D:$D,"&lt;"&amp;0)+sumifs('000'!$D:$D,'000'!$B:$B,$D66,'000'!$A:$A,"&gt;="&amp;Q$60,'000'!$A:$A,"&lt;="&amp;Q$61,'000'!$D:$D,"&lt;"&amp;0)+sumifs('500'!$D:$D,'500'!$B:$B,$D66,'500'!$A:$A,"&gt;="&amp;Q$60,'500'!$A:$A,"&lt;="&amp;Q$61,'500'!$D:$D,"&lt;"&amp;0)+sumifs('300'!$D:$D,'300'!$B:$B,$D66,'300'!$A:$A,"&gt;="&amp;Q$60,'300'!$A:$A,"&lt;="&amp;Q$61,'300'!$D:$D,"&lt;"&amp;0)+sumifs('600.VPA'!$D:$D,'600.VPA'!$B:$B,$D66,'600.VPA'!$A:$A,"&gt;="&amp;Q$60,'600.VPA'!$A:$A,"&lt;="&amp;Q$61,'600.VPA'!$D:$D,"&lt;"&amp;0)</f>
        <v>0</v>
      </c>
      <c r="R66" s="149">
        <f>sumifs(Boss!$D:$D,Boss!$B:$B,$D66,Boss!$A:$A,"&gt;="&amp;R$60,Boss!$A:$A,"&lt;="&amp;R$61,Boss!$D:$D,"&gt;"&amp;0)+sumifs(VPA.Director!$D:$D,VPA.Director!$B:$B,$D66,VPA.Director!$A:$A,"&gt;="&amp;R$60,VPA.Director!$A:$A,"&lt;="&amp;R$61,VPA.Director!$D:$D,"&gt;"&amp;0)+sumifs(ADC.Director!$D:$D,ADC.Director!$B:$B,$D66,ADC.Director!$A:$A,"&gt;="&amp;R$60,ADC.Director!$A:$A,"&lt;="&amp;R$61,ADC.Director!$D:$D,"&gt;"&amp;0)+sumifs('000'!$D:$D,'000'!$B:$B,$D66,'000'!$A:$A,"&gt;="&amp;R$60,'000'!$A:$A,"&lt;="&amp;R$61,'000'!$D:$D,"&gt;"&amp;0)+sumifs('500'!$D:$D,'500'!$B:$B,$D66,'500'!$A:$A,"&gt;="&amp;R$60,'500'!$A:$A,"&lt;="&amp;R$60,'500'!$D:$D,"&gt;"&amp;0)+sumifs('300'!$D:$D,'300'!$B:$B,$D66,'300'!$A:$A,"&gt;="&amp;R$60,'300'!$A:$A,"&lt;="&amp;R$61,'300'!$D:$D,"&gt;"&amp;0)+sumifs('600.VPA'!$D:$D,'600.VPA'!$B:$B,$D66,'600.VPA'!$A:$A,"&gt;="&amp;R$60,'600.VPA'!$A:$A,"&lt;="&amp;R$61,'600.VPA'!$D:$D,"&gt;"&amp;0)</f>
        <v>0</v>
      </c>
      <c r="S66" s="148">
        <f>sumifs(Boss!$D:$D,Boss!$B:$B,$D66,Boss!$A:$A,"&gt;="&amp;S$60,Boss!$A:$A,"&lt;="&amp;S$61,Boss!$D:$D,"&lt;"&amp;0)+sumifs(VPA.Director!$D:$D,VPA.Director!$B:$B,$D66,VPA.Director!$A:$A,"&gt;="&amp;S$60,VPA.Director!$A:$A,"&lt;="&amp;S$61,VPA.Director!$D:$D,"&lt;"&amp;0)+sumifs(ADC.Director!$D:$D,ADC.Director!$B:$B,$D66,ADC.Director!$A:$A,"&gt;="&amp;S$60,ADC.Director!$A:$A,"&lt;="&amp;S$61,ADC.Director!$D:$D,"&lt;"&amp;0)+sumifs('000'!$D:$D,'000'!$B:$B,$D66,'000'!$A:$A,"&gt;="&amp;S$60,'000'!$A:$A,"&lt;="&amp;S$61,'000'!$D:$D,"&lt;"&amp;0)+sumifs('500'!$D:$D,'500'!$B:$B,$D66,'500'!$A:$A,"&gt;="&amp;S$60,'500'!$A:$A,"&lt;="&amp;S$61,'500'!$D:$D,"&lt;"&amp;0)+sumifs('300'!$D:$D,'300'!$B:$B,$D66,'300'!$A:$A,"&gt;="&amp;S$60,'300'!$A:$A,"&lt;="&amp;S$61,'300'!$D:$D,"&lt;"&amp;0)+sumifs('600.VPA'!$D:$D,'600.VPA'!$B:$B,$D66,'600.VPA'!$A:$A,"&gt;="&amp;S$60,'600.VPA'!$A:$A,"&lt;="&amp;S$61,'600.VPA'!$D:$D,"&lt;"&amp;0)</f>
        <v>0</v>
      </c>
      <c r="T66" s="149">
        <f>sumifs(Boss!$D:$D,Boss!$B:$B,$D66,Boss!$A:$A,"&gt;="&amp;T$60,Boss!$A:$A,"&lt;="&amp;T$61,Boss!$D:$D,"&gt;"&amp;0)+sumifs(VPA.Director!$D:$D,VPA.Director!$B:$B,$D66,VPA.Director!$A:$A,"&gt;="&amp;T$60,VPA.Director!$A:$A,"&lt;="&amp;T$61,VPA.Director!$D:$D,"&gt;"&amp;0)+sumifs(ADC.Director!$D:$D,ADC.Director!$B:$B,$D66,ADC.Director!$A:$A,"&gt;="&amp;T$60,ADC.Director!$A:$A,"&lt;="&amp;T$61,ADC.Director!$D:$D,"&gt;"&amp;0)+sumifs('000'!$D:$D,'000'!$B:$B,$D66,'000'!$A:$A,"&gt;="&amp;T$60,'000'!$A:$A,"&lt;="&amp;T$61,'000'!$D:$D,"&gt;"&amp;0)+sumifs('500'!$D:$D,'500'!$B:$B,$D66,'500'!$A:$A,"&gt;="&amp;T$60,'500'!$A:$A,"&lt;="&amp;T$60,'500'!$D:$D,"&gt;"&amp;0)+sumifs('300'!$D:$D,'300'!$B:$B,$D66,'300'!$A:$A,"&gt;="&amp;T$60,'300'!$A:$A,"&lt;="&amp;T$61,'300'!$D:$D,"&gt;"&amp;0)+sumifs('600.VPA'!$D:$D,'600.VPA'!$B:$B,$D66,'600.VPA'!$A:$A,"&gt;="&amp;T$60,'600.VPA'!$A:$A,"&lt;="&amp;T$61,'600.VPA'!$D:$D,"&gt;"&amp;0)</f>
        <v>0</v>
      </c>
      <c r="U66" s="144"/>
      <c r="V66" s="148">
        <f>sumifs(Boss!$D:$D,Boss!$B:$B,$D66,Boss!$A:$A,"&gt;="&amp;V$60,Boss!$A:$A,"&lt;="&amp;V$61,Boss!$D:$D,"&lt;"&amp;0)+sumifs(VPA.Director!$D:$D,VPA.Director!$B:$B,$D66,VPA.Director!$A:$A,"&gt;="&amp;V$60,VPA.Director!$A:$A,"&lt;="&amp;V$61,VPA.Director!$D:$D,"&lt;"&amp;0)+sumifs(ADC.Director!$D:$D,ADC.Director!$B:$B,$D66,ADC.Director!$A:$A,"&gt;="&amp;V$60,ADC.Director!$A:$A,"&lt;="&amp;V$61,ADC.Director!$D:$D,"&lt;"&amp;0)+sumifs('000'!$D:$D,'000'!$B:$B,$D66,'000'!$A:$A,"&gt;="&amp;V$60,'000'!$A:$A,"&lt;="&amp;V$61,'000'!$D:$D,"&lt;"&amp;0)+sumifs('500'!$D:$D,'500'!$B:$B,$D66,'500'!$A:$A,"&gt;="&amp;V$60,'500'!$A:$A,"&lt;="&amp;V$61,'500'!$D:$D,"&lt;"&amp;0)+sumifs('300'!$D:$D,'300'!$B:$B,$D66,'300'!$A:$A,"&gt;="&amp;V$60,'300'!$A:$A,"&lt;="&amp;V$61,'300'!$D:$D,"&lt;"&amp;0)+sumifs('600.VPA'!$D:$D,'600.VPA'!$B:$B,$D66,'600.VPA'!$A:$A,"&gt;="&amp;V$60,'600.VPA'!$A:$A,"&lt;="&amp;V$61,'600.VPA'!$D:$D,"&lt;"&amp;0)</f>
        <v>0</v>
      </c>
      <c r="W66" s="149">
        <f>sumifs(Boss!$D:$D,Boss!$B:$B,$D66,Boss!$A:$A,"&gt;="&amp;W$60,Boss!$A:$A,"&lt;="&amp;W$61,Boss!$D:$D,"&gt;"&amp;0)+sumifs(VPA.Director!$D:$D,VPA.Director!$B:$B,$D66,VPA.Director!$A:$A,"&gt;="&amp;W$60,VPA.Director!$A:$A,"&lt;="&amp;W$61,VPA.Director!$D:$D,"&gt;"&amp;0)+sumifs(ADC.Director!$D:$D,ADC.Director!$B:$B,$D66,ADC.Director!$A:$A,"&gt;="&amp;W$60,ADC.Director!$A:$A,"&lt;="&amp;W$61,ADC.Director!$D:$D,"&gt;"&amp;0)+sumifs('000'!$D:$D,'000'!$B:$B,$D66,'000'!$A:$A,"&gt;="&amp;W$60,'000'!$A:$A,"&lt;="&amp;W$61,'000'!$D:$D,"&gt;"&amp;0)+sumifs('500'!$D:$D,'500'!$B:$B,$D66,'500'!$A:$A,"&gt;="&amp;W$60,'500'!$A:$A,"&lt;="&amp;W$60,'500'!$D:$D,"&gt;"&amp;0)+sumifs('300'!$D:$D,'300'!$B:$B,$D66,'300'!$A:$A,"&gt;="&amp;W$60,'300'!$A:$A,"&lt;="&amp;W$61,'300'!$D:$D,"&gt;"&amp;0)+sumifs('600.VPA'!$D:$D,'600.VPA'!$B:$B,$D66,'600.VPA'!$A:$A,"&gt;="&amp;W$60,'600.VPA'!$A:$A,"&lt;="&amp;W$61,'600.VPA'!$D:$D,"&gt;"&amp;0)</f>
        <v>0</v>
      </c>
      <c r="X66" s="148">
        <f>sumifs(Boss!$D:$D,Boss!$B:$B,$D66,Boss!$A:$A,"&gt;="&amp;X$60,Boss!$A:$A,"&lt;="&amp;X$61,Boss!$D:$D,"&lt;"&amp;0)+sumifs(VPA.Director!$D:$D,VPA.Director!$B:$B,$D66,VPA.Director!$A:$A,"&gt;="&amp;X$60,VPA.Director!$A:$A,"&lt;="&amp;X$61,VPA.Director!$D:$D,"&lt;"&amp;0)+sumifs(ADC.Director!$D:$D,ADC.Director!$B:$B,$D66,ADC.Director!$A:$A,"&gt;="&amp;X$60,ADC.Director!$A:$A,"&lt;="&amp;X$61,ADC.Director!$D:$D,"&lt;"&amp;0)+sumifs('000'!$D:$D,'000'!$B:$B,$D66,'000'!$A:$A,"&gt;="&amp;X$60,'000'!$A:$A,"&lt;="&amp;X$61,'000'!$D:$D,"&lt;"&amp;0)+sumifs('500'!$D:$D,'500'!$B:$B,$D66,'500'!$A:$A,"&gt;="&amp;X$60,'500'!$A:$A,"&lt;="&amp;X$61,'500'!$D:$D,"&lt;"&amp;0)+sumifs('300'!$D:$D,'300'!$B:$B,$D66,'300'!$A:$A,"&gt;="&amp;X$60,'300'!$A:$A,"&lt;="&amp;X$61,'300'!$D:$D,"&lt;"&amp;0)+sumifs('600.VPA'!$D:$D,'600.VPA'!$B:$B,$D66,'600.VPA'!$A:$A,"&gt;="&amp;X$60,'600.VPA'!$A:$A,"&lt;="&amp;X$61,'600.VPA'!$D:$D,"&lt;"&amp;0)</f>
        <v>0</v>
      </c>
      <c r="Y66" s="149">
        <f>sumifs(Boss!$D:$D,Boss!$B:$B,$D66,Boss!$A:$A,"&gt;="&amp;Y$60,Boss!$A:$A,"&lt;="&amp;Y$61,Boss!$D:$D,"&gt;"&amp;0)+sumifs(VPA.Director!$D:$D,VPA.Director!$B:$B,$D66,VPA.Director!$A:$A,"&gt;="&amp;Y$60,VPA.Director!$A:$A,"&lt;="&amp;Y$61,VPA.Director!$D:$D,"&gt;"&amp;0)+sumifs(ADC.Director!$D:$D,ADC.Director!$B:$B,$D66,ADC.Director!$A:$A,"&gt;="&amp;Y$60,ADC.Director!$A:$A,"&lt;="&amp;Y$61,ADC.Director!$D:$D,"&gt;"&amp;0)+sumifs('000'!$D:$D,'000'!$B:$B,$D66,'000'!$A:$A,"&gt;="&amp;Y$60,'000'!$A:$A,"&lt;="&amp;Y$61,'000'!$D:$D,"&gt;"&amp;0)+sumifs('500'!$D:$D,'500'!$B:$B,$D66,'500'!$A:$A,"&gt;="&amp;Y$60,'500'!$A:$A,"&lt;="&amp;Y$60,'500'!$D:$D,"&gt;"&amp;0)+sumifs('300'!$D:$D,'300'!$B:$B,$D66,'300'!$A:$A,"&gt;="&amp;Y$60,'300'!$A:$A,"&lt;="&amp;Y$61,'300'!$D:$D,"&gt;"&amp;0)+sumifs('600.VPA'!$D:$D,'600.VPA'!$B:$B,$D66,'600.VPA'!$A:$A,"&gt;="&amp;Y$60,'600.VPA'!$A:$A,"&lt;="&amp;Y$61,'600.VPA'!$D:$D,"&gt;"&amp;0)</f>
        <v>0</v>
      </c>
      <c r="Z66" s="148">
        <f>sumifs(Boss!$D:$D,Boss!$B:$B,$D66,Boss!$A:$A,"&gt;="&amp;Z$60,Boss!$A:$A,"&lt;="&amp;Z$61,Boss!$D:$D,"&lt;"&amp;0)+sumifs(VPA.Director!$D:$D,VPA.Director!$B:$B,$D66,VPA.Director!$A:$A,"&gt;="&amp;Z$60,VPA.Director!$A:$A,"&lt;="&amp;Z$61,VPA.Director!$D:$D,"&lt;"&amp;0)+sumifs(ADC.Director!$D:$D,ADC.Director!$B:$B,$D66,ADC.Director!$A:$A,"&gt;="&amp;Z$60,ADC.Director!$A:$A,"&lt;="&amp;Z$61,ADC.Director!$D:$D,"&lt;"&amp;0)+sumifs('000'!$D:$D,'000'!$B:$B,$D66,'000'!$A:$A,"&gt;="&amp;Z$60,'000'!$A:$A,"&lt;="&amp;Z$61,'000'!$D:$D,"&lt;"&amp;0)+sumifs('500'!$D:$D,'500'!$B:$B,$D66,'500'!$A:$A,"&gt;="&amp;Z$60,'500'!$A:$A,"&lt;="&amp;Z$61,'500'!$D:$D,"&lt;"&amp;0)+sumifs('300'!$D:$D,'300'!$B:$B,$D66,'300'!$A:$A,"&gt;="&amp;Z$60,'300'!$A:$A,"&lt;="&amp;Z$61,'300'!$D:$D,"&lt;"&amp;0)+sumifs('600.VPA'!$D:$D,'600.VPA'!$B:$B,$D66,'600.VPA'!$A:$A,"&gt;="&amp;Z$60,'600.VPA'!$A:$A,"&lt;="&amp;Z$61,'600.VPA'!$D:$D,"&lt;"&amp;0)</f>
        <v>0</v>
      </c>
      <c r="AA66" s="149">
        <f>sumifs(Boss!$D:$D,Boss!$B:$B,$D66,Boss!$A:$A,"&gt;="&amp;AA$60,Boss!$A:$A,"&lt;="&amp;AA$61,Boss!$D:$D,"&gt;"&amp;0)+sumifs(VPA.Director!$D:$D,VPA.Director!$B:$B,$D66,VPA.Director!$A:$A,"&gt;="&amp;AA$60,VPA.Director!$A:$A,"&lt;="&amp;AA$61,VPA.Director!$D:$D,"&gt;"&amp;0)+sumifs(ADC.Director!$D:$D,ADC.Director!$B:$B,$D66,ADC.Director!$A:$A,"&gt;="&amp;AA$60,ADC.Director!$A:$A,"&lt;="&amp;AA$61,ADC.Director!$D:$D,"&gt;"&amp;0)+sumifs('000'!$D:$D,'000'!$B:$B,$D66,'000'!$A:$A,"&gt;="&amp;AA$60,'000'!$A:$A,"&lt;="&amp;AA$61,'000'!$D:$D,"&gt;"&amp;0)+sumifs('500'!$D:$D,'500'!$B:$B,$D66,'500'!$A:$A,"&gt;="&amp;AA$60,'500'!$A:$A,"&lt;="&amp;AA$60,'500'!$D:$D,"&gt;"&amp;0)+sumifs('300'!$D:$D,'300'!$B:$B,$D66,'300'!$A:$A,"&gt;="&amp;AA$60,'300'!$A:$A,"&lt;="&amp;AA$61,'300'!$D:$D,"&gt;"&amp;0)+sumifs('600.VPA'!$D:$D,'600.VPA'!$B:$B,$D66,'600.VPA'!$A:$A,"&gt;="&amp;AA$60,'600.VPA'!$A:$A,"&lt;="&amp;AA$61,'600.VPA'!$D:$D,"&gt;"&amp;0)</f>
        <v>0</v>
      </c>
      <c r="AB66" s="148">
        <f>sumifs(Boss!$D:$D,Boss!$B:$B,$D66,Boss!$A:$A,"&gt;="&amp;AB$60,Boss!$A:$A,"&lt;="&amp;AB$61,Boss!$D:$D,"&lt;"&amp;0)+sumifs(VPA.Director!$D:$D,VPA.Director!$B:$B,$D66,VPA.Director!$A:$A,"&gt;="&amp;AB$60,VPA.Director!$A:$A,"&lt;="&amp;AB$61,VPA.Director!$D:$D,"&lt;"&amp;0)+sumifs(ADC.Director!$D:$D,ADC.Director!$B:$B,$D66,ADC.Director!$A:$A,"&gt;="&amp;AB$60,ADC.Director!$A:$A,"&lt;="&amp;AB$61,ADC.Director!$D:$D,"&lt;"&amp;0)+sumifs('000'!$D:$D,'000'!$B:$B,$D66,'000'!$A:$A,"&gt;="&amp;AB$60,'000'!$A:$A,"&lt;="&amp;AB$61,'000'!$D:$D,"&lt;"&amp;0)+sumifs('500'!$D:$D,'500'!$B:$B,$D66,'500'!$A:$A,"&gt;="&amp;AB$60,'500'!$A:$A,"&lt;="&amp;AB$61,'500'!$D:$D,"&lt;"&amp;0)+sumifs('300'!$D:$D,'300'!$B:$B,$D66,'300'!$A:$A,"&gt;="&amp;AB$60,'300'!$A:$A,"&lt;="&amp;AB$61,'300'!$D:$D,"&lt;"&amp;0)+sumifs('600.VPA'!$D:$D,'600.VPA'!$B:$B,$D66,'600.VPA'!$A:$A,"&gt;="&amp;AB$60,'600.VPA'!$A:$A,"&lt;="&amp;AB$61,'600.VPA'!$D:$D,"&lt;"&amp;0)</f>
        <v>0</v>
      </c>
      <c r="AC66" s="149">
        <f>sumifs(Boss!$D:$D,Boss!$B:$B,$D66,Boss!$A:$A,"&gt;="&amp;AC$60,Boss!$A:$A,"&lt;="&amp;AC$61,Boss!$D:$D,"&gt;"&amp;0)+sumifs(VPA.Director!$D:$D,VPA.Director!$B:$B,$D66,VPA.Director!$A:$A,"&gt;="&amp;AC$60,VPA.Director!$A:$A,"&lt;="&amp;AC$61,VPA.Director!$D:$D,"&gt;"&amp;0)+sumifs(ADC.Director!$D:$D,ADC.Director!$B:$B,$D66,ADC.Director!$A:$A,"&gt;="&amp;AC$60,ADC.Director!$A:$A,"&lt;="&amp;AC$61,ADC.Director!$D:$D,"&gt;"&amp;0)+sumifs('000'!$D:$D,'000'!$B:$B,$D66,'000'!$A:$A,"&gt;="&amp;AC$60,'000'!$A:$A,"&lt;="&amp;AC$61,'000'!$D:$D,"&gt;"&amp;0)+sumifs('500'!$D:$D,'500'!$B:$B,$D66,'500'!$A:$A,"&gt;="&amp;AC$60,'500'!$A:$A,"&lt;="&amp;AC$60,'500'!$D:$D,"&gt;"&amp;0)+sumifs('300'!$D:$D,'300'!$B:$B,$D66,'300'!$A:$A,"&gt;="&amp;AC$60,'300'!$A:$A,"&lt;="&amp;AC$61,'300'!$D:$D,"&gt;"&amp;0)+sumifs('600.VPA'!$D:$D,'600.VPA'!$B:$B,$D66,'600.VPA'!$A:$A,"&gt;="&amp;AC$60,'600.VPA'!$A:$A,"&lt;="&amp;AC$61,'600.VPA'!$D:$D,"&gt;"&amp;0)</f>
        <v>0</v>
      </c>
      <c r="AD66" s="148">
        <f>sumifs(Boss!$D:$D,Boss!$B:$B,$D66,Boss!$A:$A,"&gt;="&amp;AD$60,Boss!$A:$A,"&lt;="&amp;AD$61,Boss!$D:$D,"&lt;"&amp;0)+sumifs(VPA.Director!$D:$D,VPA.Director!$B:$B,$D66,VPA.Director!$A:$A,"&gt;="&amp;AD$60,VPA.Director!$A:$A,"&lt;="&amp;AD$61,VPA.Director!$D:$D,"&lt;"&amp;0)+sumifs(ADC.Director!$D:$D,ADC.Director!$B:$B,$D66,ADC.Director!$A:$A,"&gt;="&amp;AD$60,ADC.Director!$A:$A,"&lt;="&amp;AD$61,ADC.Director!$D:$D,"&lt;"&amp;0)+sumifs('000'!$D:$D,'000'!$B:$B,$D66,'000'!$A:$A,"&gt;="&amp;AD$60,'000'!$A:$A,"&lt;="&amp;AD$61,'000'!$D:$D,"&lt;"&amp;0)+sumifs('500'!$D:$D,'500'!$B:$B,$D66,'500'!$A:$A,"&gt;="&amp;AD$60,'500'!$A:$A,"&lt;="&amp;AD$61,'500'!$D:$D,"&lt;"&amp;0)+sumifs('300'!$D:$D,'300'!$B:$B,$D66,'300'!$A:$A,"&gt;="&amp;AD$60,'300'!$A:$A,"&lt;="&amp;AD$61,'300'!$D:$D,"&lt;"&amp;0)+sumifs('600.VPA'!$D:$D,'600.VPA'!$B:$B,$D66,'600.VPA'!$A:$A,"&gt;="&amp;AD$60,'600.VPA'!$A:$A,"&lt;="&amp;AD$61,'600.VPA'!$D:$D,"&lt;"&amp;0)</f>
        <v>0</v>
      </c>
      <c r="AE66" s="149">
        <f>sumifs(Boss!$D:$D,Boss!$B:$B,$D66,Boss!$A:$A,"&gt;="&amp;AE$60,Boss!$A:$A,"&lt;="&amp;AE$61,Boss!$D:$D,"&gt;"&amp;0)+sumifs(VPA.Director!$D:$D,VPA.Director!$B:$B,$D66,VPA.Director!$A:$A,"&gt;="&amp;AE$60,VPA.Director!$A:$A,"&lt;="&amp;AE$61,VPA.Director!$D:$D,"&gt;"&amp;0)+sumifs(ADC.Director!$D:$D,ADC.Director!$B:$B,$D66,ADC.Director!$A:$A,"&gt;="&amp;AE$60,ADC.Director!$A:$A,"&lt;="&amp;AE$61,ADC.Director!$D:$D,"&gt;"&amp;0)+sumifs('000'!$D:$D,'000'!$B:$B,$D66,'000'!$A:$A,"&gt;="&amp;AE$60,'000'!$A:$A,"&lt;="&amp;AE$61,'000'!$D:$D,"&gt;"&amp;0)+sumifs('500'!$D:$D,'500'!$B:$B,$D66,'500'!$A:$A,"&gt;="&amp;AE$60,'500'!$A:$A,"&lt;="&amp;AE$60,'500'!$D:$D,"&gt;"&amp;0)+sumifs('300'!$D:$D,'300'!$B:$B,$D66,'300'!$A:$A,"&gt;="&amp;AE$60,'300'!$A:$A,"&lt;="&amp;AE$61,'300'!$D:$D,"&gt;"&amp;0)+sumifs('600.VPA'!$D:$D,'600.VPA'!$B:$B,$D66,'600.VPA'!$A:$A,"&gt;="&amp;AE$60,'600.VPA'!$A:$A,"&lt;="&amp;AE$61,'600.VPA'!$D:$D,"&gt;"&amp;0)</f>
        <v>0</v>
      </c>
      <c r="AF66" s="148">
        <f>sumifs(Boss!$D:$D,Boss!$B:$B,$D66,Boss!$A:$A,"&gt;="&amp;AF$60,Boss!$A:$A,"&lt;="&amp;AF$61,Boss!$D:$D,"&lt;"&amp;0)+sumifs(VPA.Director!$D:$D,VPA.Director!$B:$B,$D66,VPA.Director!$A:$A,"&gt;="&amp;AF$60,VPA.Director!$A:$A,"&lt;="&amp;AF$61,VPA.Director!$D:$D,"&lt;"&amp;0)+sumifs(ADC.Director!$D:$D,ADC.Director!$B:$B,$D66,ADC.Director!$A:$A,"&gt;="&amp;AF$60,ADC.Director!$A:$A,"&lt;="&amp;AF$61,ADC.Director!$D:$D,"&lt;"&amp;0)+sumifs('000'!$D:$D,'000'!$B:$B,$D66,'000'!$A:$A,"&gt;="&amp;AF$60,'000'!$A:$A,"&lt;="&amp;AF$61,'000'!$D:$D,"&lt;"&amp;0)+sumifs('500'!$D:$D,'500'!$B:$B,$D66,'500'!$A:$A,"&gt;="&amp;AF$60,'500'!$A:$A,"&lt;="&amp;AF$61,'500'!$D:$D,"&lt;"&amp;0)+sumifs('300'!$D:$D,'300'!$B:$B,$D66,'300'!$A:$A,"&gt;="&amp;AF$60,'300'!$A:$A,"&lt;="&amp;AF$61,'300'!$D:$D,"&lt;"&amp;0)+sumifs('600.VPA'!$D:$D,'600.VPA'!$B:$B,$D66,'600.VPA'!$A:$A,"&gt;="&amp;AF$60,'600.VPA'!$A:$A,"&lt;="&amp;AF$61,'600.VPA'!$D:$D,"&lt;"&amp;0)</f>
        <v>0</v>
      </c>
      <c r="AG66" s="149">
        <f>sumifs(Boss!$D:$D,Boss!$B:$B,$D66,Boss!$A:$A,"&gt;="&amp;AG$60,Boss!$A:$A,"&lt;="&amp;AG$61,Boss!$D:$D,"&gt;"&amp;0)+sumifs(VPA.Director!$D:$D,VPA.Director!$B:$B,$D66,VPA.Director!$A:$A,"&gt;="&amp;AG$60,VPA.Director!$A:$A,"&lt;="&amp;AG$61,VPA.Director!$D:$D,"&gt;"&amp;0)+sumifs(ADC.Director!$D:$D,ADC.Director!$B:$B,$D66,ADC.Director!$A:$A,"&gt;="&amp;AG$60,ADC.Director!$A:$A,"&lt;="&amp;AG$61,ADC.Director!$D:$D,"&gt;"&amp;0)+sumifs('000'!$D:$D,'000'!$B:$B,$D66,'000'!$A:$A,"&gt;="&amp;AG$60,'000'!$A:$A,"&lt;="&amp;AG$61,'000'!$D:$D,"&gt;"&amp;0)+sumifs('500'!$D:$D,'500'!$B:$B,$D66,'500'!$A:$A,"&gt;="&amp;AG$60,'500'!$A:$A,"&lt;="&amp;AG$60,'500'!$D:$D,"&gt;"&amp;0)+sumifs('300'!$D:$D,'300'!$B:$B,$D66,'300'!$A:$A,"&gt;="&amp;AG$60,'300'!$A:$A,"&lt;="&amp;AG$61,'300'!$D:$D,"&gt;"&amp;0)+sumifs('600.VPA'!$D:$D,'600.VPA'!$B:$B,$D66,'600.VPA'!$A:$A,"&gt;="&amp;AG$60,'600.VPA'!$A:$A,"&lt;="&amp;AG$61,'600.VPA'!$D:$D,"&gt;"&amp;0)</f>
        <v>0</v>
      </c>
      <c r="AH66" s="150">
        <f t="shared" ref="AH66:AI66" si="5">sum(I66,K66,M66,O66,Q66,S66,V66,X66,Z66,AB66,AD66,AF66)</f>
        <v>0</v>
      </c>
      <c r="AI66" s="151">
        <f t="shared" si="5"/>
        <v>0</v>
      </c>
      <c r="AJ66" s="150">
        <f t="shared" si="4"/>
        <v>0</v>
      </c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</row>
    <row r="67">
      <c r="A67" s="86"/>
      <c r="B67" s="144"/>
      <c r="D67" s="146" t="s">
        <v>50</v>
      </c>
      <c r="E67" s="147" t="s">
        <v>6</v>
      </c>
      <c r="F67" s="146" t="s">
        <v>138</v>
      </c>
      <c r="G67" s="146" t="s">
        <v>52</v>
      </c>
      <c r="H67" s="146" t="s">
        <v>49</v>
      </c>
      <c r="I67" s="148">
        <f>sumifs(Boss!$D:$D,Boss!$B:$B,$D67,Boss!$A:$A,"&gt;="&amp;I$60,Boss!$A:$A,"&lt;="&amp;I$61,Boss!$D:$D,"&lt;"&amp;0)+sumifs(VPA.Director!$D:$D,VPA.Director!$B:$B,$D67,VPA.Director!$A:$A,"&gt;="&amp;I$60,VPA.Director!$A:$A,"&lt;="&amp;I$61,VPA.Director!$D:$D,"&lt;"&amp;0)+sumifs(ADC.Director!$D:$D,ADC.Director!$B:$B,$D67,ADC.Director!$A:$A,"&gt;="&amp;I$60,ADC.Director!$A:$A,"&lt;="&amp;I$61,ADC.Director!$D:$D,"&lt;"&amp;0)+sumifs('000'!$D:$D,'000'!$B:$B,$D67,'000'!$A:$A,"&gt;="&amp;I$60,'000'!$A:$A,"&lt;="&amp;I$61,'000'!$D:$D,"&lt;"&amp;0)+sumifs('500'!$D:$D,'500'!$B:$B,$D67,'500'!$A:$A,"&gt;="&amp;I$60,'500'!$A:$A,"&lt;="&amp;I$61,'500'!$D:$D,"&lt;"&amp;0)+sumifs('300'!$D:$D,'300'!$B:$B,$D67,'300'!$A:$A,"&gt;="&amp;I$60,'300'!$A:$A,"&lt;="&amp;I$61,'300'!$D:$D,"&lt;"&amp;0)+sumifs('600.VPA'!$D:$D,'600.VPA'!$B:$B,$D67,'600.VPA'!$A:$A,"&gt;="&amp;I$60,'600.VPA'!$A:$A,"&lt;="&amp;I$61,'600.VPA'!$D:$D,"&lt;"&amp;0)</f>
        <v>0</v>
      </c>
      <c r="J67" s="149">
        <f>sumifs(Boss!$D:$D,Boss!$B:$B,$D67,Boss!$A:$A,"&gt;="&amp;J$60,Boss!$A:$A,"&lt;="&amp;J$61,Boss!$D:$D,"&gt;"&amp;0)+sumifs(VPA.Director!$D:$D,VPA.Director!$B:$B,$D67,VPA.Director!$A:$A,"&gt;="&amp;J$60,VPA.Director!$A:$A,"&lt;="&amp;J$61,VPA.Director!$D:$D,"&gt;"&amp;0)+sumifs(ADC.Director!$D:$D,ADC.Director!$B:$B,$D67,ADC.Director!$A:$A,"&gt;="&amp;J$60,ADC.Director!$A:$A,"&lt;="&amp;J$61,ADC.Director!$D:$D,"&gt;"&amp;0)+sumifs('000'!$D:$D,'000'!$B:$B,$D67,'000'!$A:$A,"&gt;="&amp;J$60,'000'!$A:$A,"&lt;="&amp;J$61,'000'!$D:$D,"&gt;"&amp;0)+sumifs('500'!$D:$D,'500'!$B:$B,$D67,'500'!$A:$A,"&gt;="&amp;J$60,'500'!$A:$A,"&lt;="&amp;J$60,'500'!$D:$D,"&gt;"&amp;0)+sumifs('300'!$D:$D,'300'!$B:$B,$D67,'300'!$A:$A,"&gt;="&amp;J$60,'300'!$A:$A,"&lt;="&amp;J$61,'300'!$D:$D,"&gt;"&amp;0)+sumifs('600.VPA'!$D:$D,'600.VPA'!$B:$B,$D67,'600.VPA'!$A:$A,"&gt;="&amp;J$60,'600.VPA'!$A:$A,"&lt;="&amp;J$61,'600.VPA'!$D:$D,"&gt;"&amp;0)</f>
        <v>0</v>
      </c>
      <c r="K67" s="148">
        <f>sumifs(Boss!$D:$D,Boss!$B:$B,$D67,Boss!$A:$A,"&gt;="&amp;K$60,Boss!$A:$A,"&lt;="&amp;K$61,Boss!$D:$D,"&lt;"&amp;0)+sumifs(VPA.Director!$D:$D,VPA.Director!$B:$B,$D67,VPA.Director!$A:$A,"&gt;="&amp;K$60,VPA.Director!$A:$A,"&lt;="&amp;K$61,VPA.Director!$D:$D,"&lt;"&amp;0)+sumifs(ADC.Director!$D:$D,ADC.Director!$B:$B,$D67,ADC.Director!$A:$A,"&gt;="&amp;K$60,ADC.Director!$A:$A,"&lt;="&amp;K$61,ADC.Director!$D:$D,"&lt;"&amp;0)+sumifs('000'!$D:$D,'000'!$B:$B,$D67,'000'!$A:$A,"&gt;="&amp;K$60,'000'!$A:$A,"&lt;="&amp;K$61,'000'!$D:$D,"&lt;"&amp;0)+sumifs('500'!$D:$D,'500'!$B:$B,$D67,'500'!$A:$A,"&gt;="&amp;K$60,'500'!$A:$A,"&lt;="&amp;K$61,'500'!$D:$D,"&lt;"&amp;0)+sumifs('300'!$D:$D,'300'!$B:$B,$D67,'300'!$A:$A,"&gt;="&amp;K$60,'300'!$A:$A,"&lt;="&amp;K$61,'300'!$D:$D,"&lt;"&amp;0)+sumifs('600.VPA'!$D:$D,'600.VPA'!$B:$B,$D67,'600.VPA'!$A:$A,"&gt;="&amp;K$60,'600.VPA'!$A:$A,"&lt;="&amp;K$61,'600.VPA'!$D:$D,"&lt;"&amp;0)</f>
        <v>0</v>
      </c>
      <c r="L67" s="149">
        <f>sumifs(Boss!$D:$D,Boss!$B:$B,$D67,Boss!$A:$A,"&gt;="&amp;L$60,Boss!$A:$A,"&lt;="&amp;L$61,Boss!$D:$D,"&gt;"&amp;0)+sumifs(VPA.Director!$D:$D,VPA.Director!$B:$B,$D67,VPA.Director!$A:$A,"&gt;="&amp;L$60,VPA.Director!$A:$A,"&lt;="&amp;L$61,VPA.Director!$D:$D,"&gt;"&amp;0)+sumifs(ADC.Director!$D:$D,ADC.Director!$B:$B,$D67,ADC.Director!$A:$A,"&gt;="&amp;L$60,ADC.Director!$A:$A,"&lt;="&amp;L$61,ADC.Director!$D:$D,"&gt;"&amp;0)+sumifs('000'!$D:$D,'000'!$B:$B,$D67,'000'!$A:$A,"&gt;="&amp;L$60,'000'!$A:$A,"&lt;="&amp;L$61,'000'!$D:$D,"&gt;"&amp;0)+sumifs('500'!$D:$D,'500'!$B:$B,$D67,'500'!$A:$A,"&gt;="&amp;L$60,'500'!$A:$A,"&lt;="&amp;L$60,'500'!$D:$D,"&gt;"&amp;0)+sumifs('300'!$D:$D,'300'!$B:$B,$D67,'300'!$A:$A,"&gt;="&amp;L$60,'300'!$A:$A,"&lt;="&amp;L$61,'300'!$D:$D,"&gt;"&amp;0)+sumifs('600.VPA'!$D:$D,'600.VPA'!$B:$B,$D67,'600.VPA'!$A:$A,"&gt;="&amp;L$60,'600.VPA'!$A:$A,"&lt;="&amp;L$61,'600.VPA'!$D:$D,"&gt;"&amp;0)</f>
        <v>0</v>
      </c>
      <c r="M67" s="148">
        <f>sumifs(Boss!$D:$D,Boss!$B:$B,$D67,Boss!$A:$A,"&gt;="&amp;M$60,Boss!$A:$A,"&lt;="&amp;M$61,Boss!$D:$D,"&lt;"&amp;0)+sumifs(VPA.Director!$D:$D,VPA.Director!$B:$B,$D67,VPA.Director!$A:$A,"&gt;="&amp;M$60,VPA.Director!$A:$A,"&lt;="&amp;M$61,VPA.Director!$D:$D,"&lt;"&amp;0)+sumifs(ADC.Director!$D:$D,ADC.Director!$B:$B,$D67,ADC.Director!$A:$A,"&gt;="&amp;M$60,ADC.Director!$A:$A,"&lt;="&amp;M$61,ADC.Director!$D:$D,"&lt;"&amp;0)+sumifs('000'!$D:$D,'000'!$B:$B,$D67,'000'!$A:$A,"&gt;="&amp;M$60,'000'!$A:$A,"&lt;="&amp;M$61,'000'!$D:$D,"&lt;"&amp;0)+sumifs('500'!$D:$D,'500'!$B:$B,$D67,'500'!$A:$A,"&gt;="&amp;M$60,'500'!$A:$A,"&lt;="&amp;M$61,'500'!$D:$D,"&lt;"&amp;0)+sumifs('300'!$D:$D,'300'!$B:$B,$D67,'300'!$A:$A,"&gt;="&amp;M$60,'300'!$A:$A,"&lt;="&amp;M$61,'300'!$D:$D,"&lt;"&amp;0)+sumifs('600.VPA'!$D:$D,'600.VPA'!$B:$B,$D67,'600.VPA'!$A:$A,"&gt;="&amp;M$60,'600.VPA'!$A:$A,"&lt;="&amp;M$61,'600.VPA'!$D:$D,"&lt;"&amp;0)</f>
        <v>0</v>
      </c>
      <c r="N67" s="149">
        <f>sumifs(Boss!$D:$D,Boss!$B:$B,$D67,Boss!$A:$A,"&gt;="&amp;N$60,Boss!$A:$A,"&lt;="&amp;N$61,Boss!$D:$D,"&gt;"&amp;0)+sumifs(VPA.Director!$D:$D,VPA.Director!$B:$B,$D67,VPA.Director!$A:$A,"&gt;="&amp;N$60,VPA.Director!$A:$A,"&lt;="&amp;N$61,VPA.Director!$D:$D,"&gt;"&amp;0)+sumifs(ADC.Director!$D:$D,ADC.Director!$B:$B,$D67,ADC.Director!$A:$A,"&gt;="&amp;N$60,ADC.Director!$A:$A,"&lt;="&amp;N$61,ADC.Director!$D:$D,"&gt;"&amp;0)+sumifs('000'!$D:$D,'000'!$B:$B,$D67,'000'!$A:$A,"&gt;="&amp;N$60,'000'!$A:$A,"&lt;="&amp;N$61,'000'!$D:$D,"&gt;"&amp;0)+sumifs('500'!$D:$D,'500'!$B:$B,$D67,'500'!$A:$A,"&gt;="&amp;N$60,'500'!$A:$A,"&lt;="&amp;N$60,'500'!$D:$D,"&gt;"&amp;0)+sumifs('300'!$D:$D,'300'!$B:$B,$D67,'300'!$A:$A,"&gt;="&amp;N$60,'300'!$A:$A,"&lt;="&amp;N$61,'300'!$D:$D,"&gt;"&amp;0)+sumifs('600.VPA'!$D:$D,'600.VPA'!$B:$B,$D67,'600.VPA'!$A:$A,"&gt;="&amp;N$60,'600.VPA'!$A:$A,"&lt;="&amp;N$61,'600.VPA'!$D:$D,"&gt;"&amp;0)</f>
        <v>0</v>
      </c>
      <c r="O67" s="148">
        <f>sumifs(Boss!$D:$D,Boss!$B:$B,$D67,Boss!$A:$A,"&gt;="&amp;O$60,Boss!$A:$A,"&lt;="&amp;O$61,Boss!$D:$D,"&lt;"&amp;0)+sumifs(VPA.Director!$D:$D,VPA.Director!$B:$B,$D67,VPA.Director!$A:$A,"&gt;="&amp;O$60,VPA.Director!$A:$A,"&lt;="&amp;O$61,VPA.Director!$D:$D,"&lt;"&amp;0)+sumifs(ADC.Director!$D:$D,ADC.Director!$B:$B,$D67,ADC.Director!$A:$A,"&gt;="&amp;O$60,ADC.Director!$A:$A,"&lt;="&amp;O$61,ADC.Director!$D:$D,"&lt;"&amp;0)+sumifs('000'!$D:$D,'000'!$B:$B,$D67,'000'!$A:$A,"&gt;="&amp;O$60,'000'!$A:$A,"&lt;="&amp;O$61,'000'!$D:$D,"&lt;"&amp;0)+sumifs('500'!$D:$D,'500'!$B:$B,$D67,'500'!$A:$A,"&gt;="&amp;O$60,'500'!$A:$A,"&lt;="&amp;O$61,'500'!$D:$D,"&lt;"&amp;0)+sumifs('300'!$D:$D,'300'!$B:$B,$D67,'300'!$A:$A,"&gt;="&amp;O$60,'300'!$A:$A,"&lt;="&amp;O$61,'300'!$D:$D,"&lt;"&amp;0)+sumifs('600.VPA'!$D:$D,'600.VPA'!$B:$B,$D67,'600.VPA'!$A:$A,"&gt;="&amp;O$60,'600.VPA'!$A:$A,"&lt;="&amp;O$61,'600.VPA'!$D:$D,"&lt;"&amp;0)</f>
        <v>0</v>
      </c>
      <c r="P67" s="149">
        <f>sumifs(Boss!$D:$D,Boss!$B:$B,$D67,Boss!$A:$A,"&gt;="&amp;P$60,Boss!$A:$A,"&lt;="&amp;P$61,Boss!$D:$D,"&gt;"&amp;0)+sumifs(VPA.Director!$D:$D,VPA.Director!$B:$B,$D67,VPA.Director!$A:$A,"&gt;="&amp;P$60,VPA.Director!$A:$A,"&lt;="&amp;P$61,VPA.Director!$D:$D,"&gt;"&amp;0)+sumifs(ADC.Director!$D:$D,ADC.Director!$B:$B,$D67,ADC.Director!$A:$A,"&gt;="&amp;P$60,ADC.Director!$A:$A,"&lt;="&amp;P$61,ADC.Director!$D:$D,"&gt;"&amp;0)+sumifs('000'!$D:$D,'000'!$B:$B,$D67,'000'!$A:$A,"&gt;="&amp;P$60,'000'!$A:$A,"&lt;="&amp;P$61,'000'!$D:$D,"&gt;"&amp;0)+sumifs('500'!$D:$D,'500'!$B:$B,$D67,'500'!$A:$A,"&gt;="&amp;P$60,'500'!$A:$A,"&lt;="&amp;P$60,'500'!$D:$D,"&gt;"&amp;0)+sumifs('300'!$D:$D,'300'!$B:$B,$D67,'300'!$A:$A,"&gt;="&amp;P$60,'300'!$A:$A,"&lt;="&amp;P$61,'300'!$D:$D,"&gt;"&amp;0)+sumifs('600.VPA'!$D:$D,'600.VPA'!$B:$B,$D67,'600.VPA'!$A:$A,"&gt;="&amp;P$60,'600.VPA'!$A:$A,"&lt;="&amp;P$61,'600.VPA'!$D:$D,"&gt;"&amp;0)</f>
        <v>0</v>
      </c>
      <c r="Q67" s="148">
        <f>sumifs(Boss!$D:$D,Boss!$B:$B,$D67,Boss!$A:$A,"&gt;="&amp;Q$60,Boss!$A:$A,"&lt;="&amp;Q$61,Boss!$D:$D,"&lt;"&amp;0)+sumifs(VPA.Director!$D:$D,VPA.Director!$B:$B,$D67,VPA.Director!$A:$A,"&gt;="&amp;Q$60,VPA.Director!$A:$A,"&lt;="&amp;Q$61,VPA.Director!$D:$D,"&lt;"&amp;0)+sumifs(ADC.Director!$D:$D,ADC.Director!$B:$B,$D67,ADC.Director!$A:$A,"&gt;="&amp;Q$60,ADC.Director!$A:$A,"&lt;="&amp;Q$61,ADC.Director!$D:$D,"&lt;"&amp;0)+sumifs('000'!$D:$D,'000'!$B:$B,$D67,'000'!$A:$A,"&gt;="&amp;Q$60,'000'!$A:$A,"&lt;="&amp;Q$61,'000'!$D:$D,"&lt;"&amp;0)+sumifs('500'!$D:$D,'500'!$B:$B,$D67,'500'!$A:$A,"&gt;="&amp;Q$60,'500'!$A:$A,"&lt;="&amp;Q$61,'500'!$D:$D,"&lt;"&amp;0)+sumifs('300'!$D:$D,'300'!$B:$B,$D67,'300'!$A:$A,"&gt;="&amp;Q$60,'300'!$A:$A,"&lt;="&amp;Q$61,'300'!$D:$D,"&lt;"&amp;0)+sumifs('600.VPA'!$D:$D,'600.VPA'!$B:$B,$D67,'600.VPA'!$A:$A,"&gt;="&amp;Q$60,'600.VPA'!$A:$A,"&lt;="&amp;Q$61,'600.VPA'!$D:$D,"&lt;"&amp;0)</f>
        <v>0</v>
      </c>
      <c r="R67" s="149">
        <f>sumifs(Boss!$D:$D,Boss!$B:$B,$D67,Boss!$A:$A,"&gt;="&amp;R$60,Boss!$A:$A,"&lt;="&amp;R$61,Boss!$D:$D,"&gt;"&amp;0)+sumifs(VPA.Director!$D:$D,VPA.Director!$B:$B,$D67,VPA.Director!$A:$A,"&gt;="&amp;R$60,VPA.Director!$A:$A,"&lt;="&amp;R$61,VPA.Director!$D:$D,"&gt;"&amp;0)+sumifs(ADC.Director!$D:$D,ADC.Director!$B:$B,$D67,ADC.Director!$A:$A,"&gt;="&amp;R$60,ADC.Director!$A:$A,"&lt;="&amp;R$61,ADC.Director!$D:$D,"&gt;"&amp;0)+sumifs('000'!$D:$D,'000'!$B:$B,$D67,'000'!$A:$A,"&gt;="&amp;R$60,'000'!$A:$A,"&lt;="&amp;R$61,'000'!$D:$D,"&gt;"&amp;0)+sumifs('500'!$D:$D,'500'!$B:$B,$D67,'500'!$A:$A,"&gt;="&amp;R$60,'500'!$A:$A,"&lt;="&amp;R$60,'500'!$D:$D,"&gt;"&amp;0)+sumifs('300'!$D:$D,'300'!$B:$B,$D67,'300'!$A:$A,"&gt;="&amp;R$60,'300'!$A:$A,"&lt;="&amp;R$61,'300'!$D:$D,"&gt;"&amp;0)+sumifs('600.VPA'!$D:$D,'600.VPA'!$B:$B,$D67,'600.VPA'!$A:$A,"&gt;="&amp;R$60,'600.VPA'!$A:$A,"&lt;="&amp;R$61,'600.VPA'!$D:$D,"&gt;"&amp;0)</f>
        <v>0</v>
      </c>
      <c r="S67" s="148">
        <f>sumifs(Boss!$D:$D,Boss!$B:$B,$D67,Boss!$A:$A,"&gt;="&amp;S$60,Boss!$A:$A,"&lt;="&amp;S$61,Boss!$D:$D,"&lt;"&amp;0)+sumifs(VPA.Director!$D:$D,VPA.Director!$B:$B,$D67,VPA.Director!$A:$A,"&gt;="&amp;S$60,VPA.Director!$A:$A,"&lt;="&amp;S$61,VPA.Director!$D:$D,"&lt;"&amp;0)+sumifs(ADC.Director!$D:$D,ADC.Director!$B:$B,$D67,ADC.Director!$A:$A,"&gt;="&amp;S$60,ADC.Director!$A:$A,"&lt;="&amp;S$61,ADC.Director!$D:$D,"&lt;"&amp;0)+sumifs('000'!$D:$D,'000'!$B:$B,$D67,'000'!$A:$A,"&gt;="&amp;S$60,'000'!$A:$A,"&lt;="&amp;S$61,'000'!$D:$D,"&lt;"&amp;0)+sumifs('500'!$D:$D,'500'!$B:$B,$D67,'500'!$A:$A,"&gt;="&amp;S$60,'500'!$A:$A,"&lt;="&amp;S$61,'500'!$D:$D,"&lt;"&amp;0)+sumifs('300'!$D:$D,'300'!$B:$B,$D67,'300'!$A:$A,"&gt;="&amp;S$60,'300'!$A:$A,"&lt;="&amp;S$61,'300'!$D:$D,"&lt;"&amp;0)+sumifs('600.VPA'!$D:$D,'600.VPA'!$B:$B,$D67,'600.VPA'!$A:$A,"&gt;="&amp;S$60,'600.VPA'!$A:$A,"&lt;="&amp;S$61,'600.VPA'!$D:$D,"&lt;"&amp;0)</f>
        <v>0</v>
      </c>
      <c r="T67" s="149">
        <f>sumifs(Boss!$D:$D,Boss!$B:$B,$D67,Boss!$A:$A,"&gt;="&amp;T$60,Boss!$A:$A,"&lt;="&amp;T$61,Boss!$D:$D,"&gt;"&amp;0)+sumifs(VPA.Director!$D:$D,VPA.Director!$B:$B,$D67,VPA.Director!$A:$A,"&gt;="&amp;T$60,VPA.Director!$A:$A,"&lt;="&amp;T$61,VPA.Director!$D:$D,"&gt;"&amp;0)+sumifs(ADC.Director!$D:$D,ADC.Director!$B:$B,$D67,ADC.Director!$A:$A,"&gt;="&amp;T$60,ADC.Director!$A:$A,"&lt;="&amp;T$61,ADC.Director!$D:$D,"&gt;"&amp;0)+sumifs('000'!$D:$D,'000'!$B:$B,$D67,'000'!$A:$A,"&gt;="&amp;T$60,'000'!$A:$A,"&lt;="&amp;T$61,'000'!$D:$D,"&gt;"&amp;0)+sumifs('500'!$D:$D,'500'!$B:$B,$D67,'500'!$A:$A,"&gt;="&amp;T$60,'500'!$A:$A,"&lt;="&amp;T$60,'500'!$D:$D,"&gt;"&amp;0)+sumifs('300'!$D:$D,'300'!$B:$B,$D67,'300'!$A:$A,"&gt;="&amp;T$60,'300'!$A:$A,"&lt;="&amp;T$61,'300'!$D:$D,"&gt;"&amp;0)+sumifs('600.VPA'!$D:$D,'600.VPA'!$B:$B,$D67,'600.VPA'!$A:$A,"&gt;="&amp;T$60,'600.VPA'!$A:$A,"&lt;="&amp;T$61,'600.VPA'!$D:$D,"&gt;"&amp;0)</f>
        <v>0</v>
      </c>
      <c r="U67" s="144"/>
      <c r="V67" s="148">
        <f>sumifs(Boss!$D:$D,Boss!$B:$B,$D67,Boss!$A:$A,"&gt;="&amp;V$60,Boss!$A:$A,"&lt;="&amp;V$61,Boss!$D:$D,"&lt;"&amp;0)+sumifs(VPA.Director!$D:$D,VPA.Director!$B:$B,$D67,VPA.Director!$A:$A,"&gt;="&amp;V$60,VPA.Director!$A:$A,"&lt;="&amp;V$61,VPA.Director!$D:$D,"&lt;"&amp;0)+sumifs(ADC.Director!$D:$D,ADC.Director!$B:$B,$D67,ADC.Director!$A:$A,"&gt;="&amp;V$60,ADC.Director!$A:$A,"&lt;="&amp;V$61,ADC.Director!$D:$D,"&lt;"&amp;0)+sumifs('000'!$D:$D,'000'!$B:$B,$D67,'000'!$A:$A,"&gt;="&amp;V$60,'000'!$A:$A,"&lt;="&amp;V$61,'000'!$D:$D,"&lt;"&amp;0)+sumifs('500'!$D:$D,'500'!$B:$B,$D67,'500'!$A:$A,"&gt;="&amp;V$60,'500'!$A:$A,"&lt;="&amp;V$61,'500'!$D:$D,"&lt;"&amp;0)+sumifs('300'!$D:$D,'300'!$B:$B,$D67,'300'!$A:$A,"&gt;="&amp;V$60,'300'!$A:$A,"&lt;="&amp;V$61,'300'!$D:$D,"&lt;"&amp;0)+sumifs('600.VPA'!$D:$D,'600.VPA'!$B:$B,$D67,'600.VPA'!$A:$A,"&gt;="&amp;V$60,'600.VPA'!$A:$A,"&lt;="&amp;V$61,'600.VPA'!$D:$D,"&lt;"&amp;0)</f>
        <v>0</v>
      </c>
      <c r="W67" s="149">
        <f>sumifs(Boss!$D:$D,Boss!$B:$B,$D67,Boss!$A:$A,"&gt;="&amp;W$60,Boss!$A:$A,"&lt;="&amp;W$61,Boss!$D:$D,"&gt;"&amp;0)+sumifs(VPA.Director!$D:$D,VPA.Director!$B:$B,$D67,VPA.Director!$A:$A,"&gt;="&amp;W$60,VPA.Director!$A:$A,"&lt;="&amp;W$61,VPA.Director!$D:$D,"&gt;"&amp;0)+sumifs(ADC.Director!$D:$D,ADC.Director!$B:$B,$D67,ADC.Director!$A:$A,"&gt;="&amp;W$60,ADC.Director!$A:$A,"&lt;="&amp;W$61,ADC.Director!$D:$D,"&gt;"&amp;0)+sumifs('000'!$D:$D,'000'!$B:$B,$D67,'000'!$A:$A,"&gt;="&amp;W$60,'000'!$A:$A,"&lt;="&amp;W$61,'000'!$D:$D,"&gt;"&amp;0)+sumifs('500'!$D:$D,'500'!$B:$B,$D67,'500'!$A:$A,"&gt;="&amp;W$60,'500'!$A:$A,"&lt;="&amp;W$60,'500'!$D:$D,"&gt;"&amp;0)+sumifs('300'!$D:$D,'300'!$B:$B,$D67,'300'!$A:$A,"&gt;="&amp;W$60,'300'!$A:$A,"&lt;="&amp;W$61,'300'!$D:$D,"&gt;"&amp;0)+sumifs('600.VPA'!$D:$D,'600.VPA'!$B:$B,$D67,'600.VPA'!$A:$A,"&gt;="&amp;W$60,'600.VPA'!$A:$A,"&lt;="&amp;W$61,'600.VPA'!$D:$D,"&gt;"&amp;0)</f>
        <v>0</v>
      </c>
      <c r="X67" s="148">
        <f>sumifs(Boss!$D:$D,Boss!$B:$B,$D67,Boss!$A:$A,"&gt;="&amp;X$60,Boss!$A:$A,"&lt;="&amp;X$61,Boss!$D:$D,"&lt;"&amp;0)+sumifs(VPA.Director!$D:$D,VPA.Director!$B:$B,$D67,VPA.Director!$A:$A,"&gt;="&amp;X$60,VPA.Director!$A:$A,"&lt;="&amp;X$61,VPA.Director!$D:$D,"&lt;"&amp;0)+sumifs(ADC.Director!$D:$D,ADC.Director!$B:$B,$D67,ADC.Director!$A:$A,"&gt;="&amp;X$60,ADC.Director!$A:$A,"&lt;="&amp;X$61,ADC.Director!$D:$D,"&lt;"&amp;0)+sumifs('000'!$D:$D,'000'!$B:$B,$D67,'000'!$A:$A,"&gt;="&amp;X$60,'000'!$A:$A,"&lt;="&amp;X$61,'000'!$D:$D,"&lt;"&amp;0)+sumifs('500'!$D:$D,'500'!$B:$B,$D67,'500'!$A:$A,"&gt;="&amp;X$60,'500'!$A:$A,"&lt;="&amp;X$61,'500'!$D:$D,"&lt;"&amp;0)+sumifs('300'!$D:$D,'300'!$B:$B,$D67,'300'!$A:$A,"&gt;="&amp;X$60,'300'!$A:$A,"&lt;="&amp;X$61,'300'!$D:$D,"&lt;"&amp;0)+sumifs('600.VPA'!$D:$D,'600.VPA'!$B:$B,$D67,'600.VPA'!$A:$A,"&gt;="&amp;X$60,'600.VPA'!$A:$A,"&lt;="&amp;X$61,'600.VPA'!$D:$D,"&lt;"&amp;0)</f>
        <v>0</v>
      </c>
      <c r="Y67" s="149">
        <f>sumifs(Boss!$D:$D,Boss!$B:$B,$D67,Boss!$A:$A,"&gt;="&amp;Y$60,Boss!$A:$A,"&lt;="&amp;Y$61,Boss!$D:$D,"&gt;"&amp;0)+sumifs(VPA.Director!$D:$D,VPA.Director!$B:$B,$D67,VPA.Director!$A:$A,"&gt;="&amp;Y$60,VPA.Director!$A:$A,"&lt;="&amp;Y$61,VPA.Director!$D:$D,"&gt;"&amp;0)+sumifs(ADC.Director!$D:$D,ADC.Director!$B:$B,$D67,ADC.Director!$A:$A,"&gt;="&amp;Y$60,ADC.Director!$A:$A,"&lt;="&amp;Y$61,ADC.Director!$D:$D,"&gt;"&amp;0)+sumifs('000'!$D:$D,'000'!$B:$B,$D67,'000'!$A:$A,"&gt;="&amp;Y$60,'000'!$A:$A,"&lt;="&amp;Y$61,'000'!$D:$D,"&gt;"&amp;0)+sumifs('500'!$D:$D,'500'!$B:$B,$D67,'500'!$A:$A,"&gt;="&amp;Y$60,'500'!$A:$A,"&lt;="&amp;Y$60,'500'!$D:$D,"&gt;"&amp;0)+sumifs('300'!$D:$D,'300'!$B:$B,$D67,'300'!$A:$A,"&gt;="&amp;Y$60,'300'!$A:$A,"&lt;="&amp;Y$61,'300'!$D:$D,"&gt;"&amp;0)+sumifs('600.VPA'!$D:$D,'600.VPA'!$B:$B,$D67,'600.VPA'!$A:$A,"&gt;="&amp;Y$60,'600.VPA'!$A:$A,"&lt;="&amp;Y$61,'600.VPA'!$D:$D,"&gt;"&amp;0)</f>
        <v>0</v>
      </c>
      <c r="Z67" s="148">
        <f>sumifs(Boss!$D:$D,Boss!$B:$B,$D67,Boss!$A:$A,"&gt;="&amp;Z$60,Boss!$A:$A,"&lt;="&amp;Z$61,Boss!$D:$D,"&lt;"&amp;0)+sumifs(VPA.Director!$D:$D,VPA.Director!$B:$B,$D67,VPA.Director!$A:$A,"&gt;="&amp;Z$60,VPA.Director!$A:$A,"&lt;="&amp;Z$61,VPA.Director!$D:$D,"&lt;"&amp;0)+sumifs(ADC.Director!$D:$D,ADC.Director!$B:$B,$D67,ADC.Director!$A:$A,"&gt;="&amp;Z$60,ADC.Director!$A:$A,"&lt;="&amp;Z$61,ADC.Director!$D:$D,"&lt;"&amp;0)+sumifs('000'!$D:$D,'000'!$B:$B,$D67,'000'!$A:$A,"&gt;="&amp;Z$60,'000'!$A:$A,"&lt;="&amp;Z$61,'000'!$D:$D,"&lt;"&amp;0)+sumifs('500'!$D:$D,'500'!$B:$B,$D67,'500'!$A:$A,"&gt;="&amp;Z$60,'500'!$A:$A,"&lt;="&amp;Z$61,'500'!$D:$D,"&lt;"&amp;0)+sumifs('300'!$D:$D,'300'!$B:$B,$D67,'300'!$A:$A,"&gt;="&amp;Z$60,'300'!$A:$A,"&lt;="&amp;Z$61,'300'!$D:$D,"&lt;"&amp;0)+sumifs('600.VPA'!$D:$D,'600.VPA'!$B:$B,$D67,'600.VPA'!$A:$A,"&gt;="&amp;Z$60,'600.VPA'!$A:$A,"&lt;="&amp;Z$61,'600.VPA'!$D:$D,"&lt;"&amp;0)</f>
        <v>0</v>
      </c>
      <c r="AA67" s="149">
        <f>sumifs(Boss!$D:$D,Boss!$B:$B,$D67,Boss!$A:$A,"&gt;="&amp;AA$60,Boss!$A:$A,"&lt;="&amp;AA$61,Boss!$D:$D,"&gt;"&amp;0)+sumifs(VPA.Director!$D:$D,VPA.Director!$B:$B,$D67,VPA.Director!$A:$A,"&gt;="&amp;AA$60,VPA.Director!$A:$A,"&lt;="&amp;AA$61,VPA.Director!$D:$D,"&gt;"&amp;0)+sumifs(ADC.Director!$D:$D,ADC.Director!$B:$B,$D67,ADC.Director!$A:$A,"&gt;="&amp;AA$60,ADC.Director!$A:$A,"&lt;="&amp;AA$61,ADC.Director!$D:$D,"&gt;"&amp;0)+sumifs('000'!$D:$D,'000'!$B:$B,$D67,'000'!$A:$A,"&gt;="&amp;AA$60,'000'!$A:$A,"&lt;="&amp;AA$61,'000'!$D:$D,"&gt;"&amp;0)+sumifs('500'!$D:$D,'500'!$B:$B,$D67,'500'!$A:$A,"&gt;="&amp;AA$60,'500'!$A:$A,"&lt;="&amp;AA$60,'500'!$D:$D,"&gt;"&amp;0)+sumifs('300'!$D:$D,'300'!$B:$B,$D67,'300'!$A:$A,"&gt;="&amp;AA$60,'300'!$A:$A,"&lt;="&amp;AA$61,'300'!$D:$D,"&gt;"&amp;0)+sumifs('600.VPA'!$D:$D,'600.VPA'!$B:$B,$D67,'600.VPA'!$A:$A,"&gt;="&amp;AA$60,'600.VPA'!$A:$A,"&lt;="&amp;AA$61,'600.VPA'!$D:$D,"&gt;"&amp;0)</f>
        <v>0</v>
      </c>
      <c r="AB67" s="148">
        <f>sumifs(Boss!$D:$D,Boss!$B:$B,$D67,Boss!$A:$A,"&gt;="&amp;AB$60,Boss!$A:$A,"&lt;="&amp;AB$61,Boss!$D:$D,"&lt;"&amp;0)+sumifs(VPA.Director!$D:$D,VPA.Director!$B:$B,$D67,VPA.Director!$A:$A,"&gt;="&amp;AB$60,VPA.Director!$A:$A,"&lt;="&amp;AB$61,VPA.Director!$D:$D,"&lt;"&amp;0)+sumifs(ADC.Director!$D:$D,ADC.Director!$B:$B,$D67,ADC.Director!$A:$A,"&gt;="&amp;AB$60,ADC.Director!$A:$A,"&lt;="&amp;AB$61,ADC.Director!$D:$D,"&lt;"&amp;0)+sumifs('000'!$D:$D,'000'!$B:$B,$D67,'000'!$A:$A,"&gt;="&amp;AB$60,'000'!$A:$A,"&lt;="&amp;AB$61,'000'!$D:$D,"&lt;"&amp;0)+sumifs('500'!$D:$D,'500'!$B:$B,$D67,'500'!$A:$A,"&gt;="&amp;AB$60,'500'!$A:$A,"&lt;="&amp;AB$61,'500'!$D:$D,"&lt;"&amp;0)+sumifs('300'!$D:$D,'300'!$B:$B,$D67,'300'!$A:$A,"&gt;="&amp;AB$60,'300'!$A:$A,"&lt;="&amp;AB$61,'300'!$D:$D,"&lt;"&amp;0)+sumifs('600.VPA'!$D:$D,'600.VPA'!$B:$B,$D67,'600.VPA'!$A:$A,"&gt;="&amp;AB$60,'600.VPA'!$A:$A,"&lt;="&amp;AB$61,'600.VPA'!$D:$D,"&lt;"&amp;0)</f>
        <v>0</v>
      </c>
      <c r="AC67" s="149">
        <f>sumifs(Boss!$D:$D,Boss!$B:$B,$D67,Boss!$A:$A,"&gt;="&amp;AC$60,Boss!$A:$A,"&lt;="&amp;AC$61,Boss!$D:$D,"&gt;"&amp;0)+sumifs(VPA.Director!$D:$D,VPA.Director!$B:$B,$D67,VPA.Director!$A:$A,"&gt;="&amp;AC$60,VPA.Director!$A:$A,"&lt;="&amp;AC$61,VPA.Director!$D:$D,"&gt;"&amp;0)+sumifs(ADC.Director!$D:$D,ADC.Director!$B:$B,$D67,ADC.Director!$A:$A,"&gt;="&amp;AC$60,ADC.Director!$A:$A,"&lt;="&amp;AC$61,ADC.Director!$D:$D,"&gt;"&amp;0)+sumifs('000'!$D:$D,'000'!$B:$B,$D67,'000'!$A:$A,"&gt;="&amp;AC$60,'000'!$A:$A,"&lt;="&amp;AC$61,'000'!$D:$D,"&gt;"&amp;0)+sumifs('500'!$D:$D,'500'!$B:$B,$D67,'500'!$A:$A,"&gt;="&amp;AC$60,'500'!$A:$A,"&lt;="&amp;AC$60,'500'!$D:$D,"&gt;"&amp;0)+sumifs('300'!$D:$D,'300'!$B:$B,$D67,'300'!$A:$A,"&gt;="&amp;AC$60,'300'!$A:$A,"&lt;="&amp;AC$61,'300'!$D:$D,"&gt;"&amp;0)+sumifs('600.VPA'!$D:$D,'600.VPA'!$B:$B,$D67,'600.VPA'!$A:$A,"&gt;="&amp;AC$60,'600.VPA'!$A:$A,"&lt;="&amp;AC$61,'600.VPA'!$D:$D,"&gt;"&amp;0)</f>
        <v>0</v>
      </c>
      <c r="AD67" s="148">
        <f>sumifs(Boss!$D:$D,Boss!$B:$B,$D67,Boss!$A:$A,"&gt;="&amp;AD$60,Boss!$A:$A,"&lt;="&amp;AD$61,Boss!$D:$D,"&lt;"&amp;0)+sumifs(VPA.Director!$D:$D,VPA.Director!$B:$B,$D67,VPA.Director!$A:$A,"&gt;="&amp;AD$60,VPA.Director!$A:$A,"&lt;="&amp;AD$61,VPA.Director!$D:$D,"&lt;"&amp;0)+sumifs(ADC.Director!$D:$D,ADC.Director!$B:$B,$D67,ADC.Director!$A:$A,"&gt;="&amp;AD$60,ADC.Director!$A:$A,"&lt;="&amp;AD$61,ADC.Director!$D:$D,"&lt;"&amp;0)+sumifs('000'!$D:$D,'000'!$B:$B,$D67,'000'!$A:$A,"&gt;="&amp;AD$60,'000'!$A:$A,"&lt;="&amp;AD$61,'000'!$D:$D,"&lt;"&amp;0)+sumifs('500'!$D:$D,'500'!$B:$B,$D67,'500'!$A:$A,"&gt;="&amp;AD$60,'500'!$A:$A,"&lt;="&amp;AD$61,'500'!$D:$D,"&lt;"&amp;0)+sumifs('300'!$D:$D,'300'!$B:$B,$D67,'300'!$A:$A,"&gt;="&amp;AD$60,'300'!$A:$A,"&lt;="&amp;AD$61,'300'!$D:$D,"&lt;"&amp;0)+sumifs('600.VPA'!$D:$D,'600.VPA'!$B:$B,$D67,'600.VPA'!$A:$A,"&gt;="&amp;AD$60,'600.VPA'!$A:$A,"&lt;="&amp;AD$61,'600.VPA'!$D:$D,"&lt;"&amp;0)</f>
        <v>0</v>
      </c>
      <c r="AE67" s="149">
        <f>sumifs(Boss!$D:$D,Boss!$B:$B,$D67,Boss!$A:$A,"&gt;="&amp;AE$60,Boss!$A:$A,"&lt;="&amp;AE$61,Boss!$D:$D,"&gt;"&amp;0)+sumifs(VPA.Director!$D:$D,VPA.Director!$B:$B,$D67,VPA.Director!$A:$A,"&gt;="&amp;AE$60,VPA.Director!$A:$A,"&lt;="&amp;AE$61,VPA.Director!$D:$D,"&gt;"&amp;0)+sumifs(ADC.Director!$D:$D,ADC.Director!$B:$B,$D67,ADC.Director!$A:$A,"&gt;="&amp;AE$60,ADC.Director!$A:$A,"&lt;="&amp;AE$61,ADC.Director!$D:$D,"&gt;"&amp;0)+sumifs('000'!$D:$D,'000'!$B:$B,$D67,'000'!$A:$A,"&gt;="&amp;AE$60,'000'!$A:$A,"&lt;="&amp;AE$61,'000'!$D:$D,"&gt;"&amp;0)+sumifs('500'!$D:$D,'500'!$B:$B,$D67,'500'!$A:$A,"&gt;="&amp;AE$60,'500'!$A:$A,"&lt;="&amp;AE$60,'500'!$D:$D,"&gt;"&amp;0)+sumifs('300'!$D:$D,'300'!$B:$B,$D67,'300'!$A:$A,"&gt;="&amp;AE$60,'300'!$A:$A,"&lt;="&amp;AE$61,'300'!$D:$D,"&gt;"&amp;0)+sumifs('600.VPA'!$D:$D,'600.VPA'!$B:$B,$D67,'600.VPA'!$A:$A,"&gt;="&amp;AE$60,'600.VPA'!$A:$A,"&lt;="&amp;AE$61,'600.VPA'!$D:$D,"&gt;"&amp;0)</f>
        <v>0</v>
      </c>
      <c r="AF67" s="148">
        <f>sumifs(Boss!$D:$D,Boss!$B:$B,$D67,Boss!$A:$A,"&gt;="&amp;AF$60,Boss!$A:$A,"&lt;="&amp;AF$61,Boss!$D:$D,"&lt;"&amp;0)+sumifs(VPA.Director!$D:$D,VPA.Director!$B:$B,$D67,VPA.Director!$A:$A,"&gt;="&amp;AF$60,VPA.Director!$A:$A,"&lt;="&amp;AF$61,VPA.Director!$D:$D,"&lt;"&amp;0)+sumifs(ADC.Director!$D:$D,ADC.Director!$B:$B,$D67,ADC.Director!$A:$A,"&gt;="&amp;AF$60,ADC.Director!$A:$A,"&lt;="&amp;AF$61,ADC.Director!$D:$D,"&lt;"&amp;0)+sumifs('000'!$D:$D,'000'!$B:$B,$D67,'000'!$A:$A,"&gt;="&amp;AF$60,'000'!$A:$A,"&lt;="&amp;AF$61,'000'!$D:$D,"&lt;"&amp;0)+sumifs('500'!$D:$D,'500'!$B:$B,$D67,'500'!$A:$A,"&gt;="&amp;AF$60,'500'!$A:$A,"&lt;="&amp;AF$61,'500'!$D:$D,"&lt;"&amp;0)+sumifs('300'!$D:$D,'300'!$B:$B,$D67,'300'!$A:$A,"&gt;="&amp;AF$60,'300'!$A:$A,"&lt;="&amp;AF$61,'300'!$D:$D,"&lt;"&amp;0)+sumifs('600.VPA'!$D:$D,'600.VPA'!$B:$B,$D67,'600.VPA'!$A:$A,"&gt;="&amp;AF$60,'600.VPA'!$A:$A,"&lt;="&amp;AF$61,'600.VPA'!$D:$D,"&lt;"&amp;0)</f>
        <v>0</v>
      </c>
      <c r="AG67" s="149">
        <f>sumifs(Boss!$D:$D,Boss!$B:$B,$D67,Boss!$A:$A,"&gt;="&amp;AG$60,Boss!$A:$A,"&lt;="&amp;AG$61,Boss!$D:$D,"&gt;"&amp;0)+sumifs(VPA.Director!$D:$D,VPA.Director!$B:$B,$D67,VPA.Director!$A:$A,"&gt;="&amp;AG$60,VPA.Director!$A:$A,"&lt;="&amp;AG$61,VPA.Director!$D:$D,"&gt;"&amp;0)+sumifs(ADC.Director!$D:$D,ADC.Director!$B:$B,$D67,ADC.Director!$A:$A,"&gt;="&amp;AG$60,ADC.Director!$A:$A,"&lt;="&amp;AG$61,ADC.Director!$D:$D,"&gt;"&amp;0)+sumifs('000'!$D:$D,'000'!$B:$B,$D67,'000'!$A:$A,"&gt;="&amp;AG$60,'000'!$A:$A,"&lt;="&amp;AG$61,'000'!$D:$D,"&gt;"&amp;0)+sumifs('500'!$D:$D,'500'!$B:$B,$D67,'500'!$A:$A,"&gt;="&amp;AG$60,'500'!$A:$A,"&lt;="&amp;AG$60,'500'!$D:$D,"&gt;"&amp;0)+sumifs('300'!$D:$D,'300'!$B:$B,$D67,'300'!$A:$A,"&gt;="&amp;AG$60,'300'!$A:$A,"&lt;="&amp;AG$61,'300'!$D:$D,"&gt;"&amp;0)+sumifs('600.VPA'!$D:$D,'600.VPA'!$B:$B,$D67,'600.VPA'!$A:$A,"&gt;="&amp;AG$60,'600.VPA'!$A:$A,"&lt;="&amp;AG$61,'600.VPA'!$D:$D,"&gt;"&amp;0)</f>
        <v>0</v>
      </c>
      <c r="AH67" s="150">
        <f t="shared" ref="AH67:AI67" si="6">sum(I67,K67,M67,O67,Q67,S67,V67,X67,Z67,AB67,AD67,AF67)</f>
        <v>0</v>
      </c>
      <c r="AI67" s="151">
        <f t="shared" si="6"/>
        <v>0</v>
      </c>
      <c r="AJ67" s="150">
        <f t="shared" si="4"/>
        <v>0</v>
      </c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</row>
    <row r="68">
      <c r="A68" s="86"/>
      <c r="B68" s="144"/>
      <c r="D68" s="146" t="s">
        <v>53</v>
      </c>
      <c r="E68" s="147" t="s">
        <v>7</v>
      </c>
      <c r="F68" s="146" t="s">
        <v>139</v>
      </c>
      <c r="G68" s="146" t="s">
        <v>55</v>
      </c>
      <c r="H68" s="146" t="s">
        <v>42</v>
      </c>
      <c r="I68" s="148">
        <f>sumifs(Boss!$D:$D,Boss!$B:$B,$D68,Boss!$A:$A,"&gt;="&amp;I$60,Boss!$A:$A,"&lt;="&amp;I$61,Boss!$D:$D,"&lt;"&amp;0)+sumifs(VPA.Director!$D:$D,VPA.Director!$B:$B,$D68,VPA.Director!$A:$A,"&gt;="&amp;I$60,VPA.Director!$A:$A,"&lt;="&amp;I$61,VPA.Director!$D:$D,"&lt;"&amp;0)+sumifs(ADC.Director!$D:$D,ADC.Director!$B:$B,$D68,ADC.Director!$A:$A,"&gt;="&amp;I$60,ADC.Director!$A:$A,"&lt;="&amp;I$61,ADC.Director!$D:$D,"&lt;"&amp;0)+sumifs('000'!$D:$D,'000'!$B:$B,$D68,'000'!$A:$A,"&gt;="&amp;I$60,'000'!$A:$A,"&lt;="&amp;I$61,'000'!$D:$D,"&lt;"&amp;0)+sumifs('500'!$D:$D,'500'!$B:$B,$D68,'500'!$A:$A,"&gt;="&amp;I$60,'500'!$A:$A,"&lt;="&amp;I$61,'500'!$D:$D,"&lt;"&amp;0)+sumifs('300'!$D:$D,'300'!$B:$B,$D68,'300'!$A:$A,"&gt;="&amp;I$60,'300'!$A:$A,"&lt;="&amp;I$61,'300'!$D:$D,"&lt;"&amp;0)+sumifs('600.VPA'!$D:$D,'600.VPA'!$B:$B,$D68,'600.VPA'!$A:$A,"&gt;="&amp;I$60,'600.VPA'!$A:$A,"&lt;="&amp;I$61,'600.VPA'!$D:$D,"&lt;"&amp;0)</f>
        <v>0</v>
      </c>
      <c r="J68" s="149">
        <f>sumifs(Boss!$D:$D,Boss!$B:$B,$D68,Boss!$A:$A,"&gt;="&amp;J$60,Boss!$A:$A,"&lt;="&amp;J$61,Boss!$D:$D,"&gt;"&amp;0)+sumifs(VPA.Director!$D:$D,VPA.Director!$B:$B,$D68,VPA.Director!$A:$A,"&gt;="&amp;J$60,VPA.Director!$A:$A,"&lt;="&amp;J$61,VPA.Director!$D:$D,"&gt;"&amp;0)+sumifs(ADC.Director!$D:$D,ADC.Director!$B:$B,$D68,ADC.Director!$A:$A,"&gt;="&amp;J$60,ADC.Director!$A:$A,"&lt;="&amp;J$61,ADC.Director!$D:$D,"&gt;"&amp;0)+sumifs('000'!$D:$D,'000'!$B:$B,$D68,'000'!$A:$A,"&gt;="&amp;J$60,'000'!$A:$A,"&lt;="&amp;J$61,'000'!$D:$D,"&gt;"&amp;0)+sumifs('500'!$D:$D,'500'!$B:$B,$D68,'500'!$A:$A,"&gt;="&amp;J$60,'500'!$A:$A,"&lt;="&amp;J$60,'500'!$D:$D,"&gt;"&amp;0)+sumifs('300'!$D:$D,'300'!$B:$B,$D68,'300'!$A:$A,"&gt;="&amp;J$60,'300'!$A:$A,"&lt;="&amp;J$61,'300'!$D:$D,"&gt;"&amp;0)+sumifs('600.VPA'!$D:$D,'600.VPA'!$B:$B,$D68,'600.VPA'!$A:$A,"&gt;="&amp;J$60,'600.VPA'!$A:$A,"&lt;="&amp;J$61,'600.VPA'!$D:$D,"&gt;"&amp;0)</f>
        <v>0</v>
      </c>
      <c r="K68" s="148">
        <f>sumifs(Boss!$D:$D,Boss!$B:$B,$D68,Boss!$A:$A,"&gt;="&amp;K$60,Boss!$A:$A,"&lt;="&amp;K$61,Boss!$D:$D,"&lt;"&amp;0)+sumifs(VPA.Director!$D:$D,VPA.Director!$B:$B,$D68,VPA.Director!$A:$A,"&gt;="&amp;K$60,VPA.Director!$A:$A,"&lt;="&amp;K$61,VPA.Director!$D:$D,"&lt;"&amp;0)+sumifs(ADC.Director!$D:$D,ADC.Director!$B:$B,$D68,ADC.Director!$A:$A,"&gt;="&amp;K$60,ADC.Director!$A:$A,"&lt;="&amp;K$61,ADC.Director!$D:$D,"&lt;"&amp;0)+sumifs('000'!$D:$D,'000'!$B:$B,$D68,'000'!$A:$A,"&gt;="&amp;K$60,'000'!$A:$A,"&lt;="&amp;K$61,'000'!$D:$D,"&lt;"&amp;0)+sumifs('500'!$D:$D,'500'!$B:$B,$D68,'500'!$A:$A,"&gt;="&amp;K$60,'500'!$A:$A,"&lt;="&amp;K$61,'500'!$D:$D,"&lt;"&amp;0)+sumifs('300'!$D:$D,'300'!$B:$B,$D68,'300'!$A:$A,"&gt;="&amp;K$60,'300'!$A:$A,"&lt;="&amp;K$61,'300'!$D:$D,"&lt;"&amp;0)+sumifs('600.VPA'!$D:$D,'600.VPA'!$B:$B,$D68,'600.VPA'!$A:$A,"&gt;="&amp;K$60,'600.VPA'!$A:$A,"&lt;="&amp;K$61,'600.VPA'!$D:$D,"&lt;"&amp;0)</f>
        <v>0</v>
      </c>
      <c r="L68" s="149">
        <f>sumifs(Boss!$D:$D,Boss!$B:$B,$D68,Boss!$A:$A,"&gt;="&amp;L$60,Boss!$A:$A,"&lt;="&amp;L$61,Boss!$D:$D,"&gt;"&amp;0)+sumifs(VPA.Director!$D:$D,VPA.Director!$B:$B,$D68,VPA.Director!$A:$A,"&gt;="&amp;L$60,VPA.Director!$A:$A,"&lt;="&amp;L$61,VPA.Director!$D:$D,"&gt;"&amp;0)+sumifs(ADC.Director!$D:$D,ADC.Director!$B:$B,$D68,ADC.Director!$A:$A,"&gt;="&amp;L$60,ADC.Director!$A:$A,"&lt;="&amp;L$61,ADC.Director!$D:$D,"&gt;"&amp;0)+sumifs('000'!$D:$D,'000'!$B:$B,$D68,'000'!$A:$A,"&gt;="&amp;L$60,'000'!$A:$A,"&lt;="&amp;L$61,'000'!$D:$D,"&gt;"&amp;0)+sumifs('500'!$D:$D,'500'!$B:$B,$D68,'500'!$A:$A,"&gt;="&amp;L$60,'500'!$A:$A,"&lt;="&amp;L$60,'500'!$D:$D,"&gt;"&amp;0)+sumifs('300'!$D:$D,'300'!$B:$B,$D68,'300'!$A:$A,"&gt;="&amp;L$60,'300'!$A:$A,"&lt;="&amp;L$61,'300'!$D:$D,"&gt;"&amp;0)+sumifs('600.VPA'!$D:$D,'600.VPA'!$B:$B,$D68,'600.VPA'!$A:$A,"&gt;="&amp;L$60,'600.VPA'!$A:$A,"&lt;="&amp;L$61,'600.VPA'!$D:$D,"&gt;"&amp;0)</f>
        <v>0</v>
      </c>
      <c r="M68" s="148">
        <f>sumifs(Boss!$D:$D,Boss!$B:$B,$D68,Boss!$A:$A,"&gt;="&amp;M$60,Boss!$A:$A,"&lt;="&amp;M$61,Boss!$D:$D,"&lt;"&amp;0)+sumifs(VPA.Director!$D:$D,VPA.Director!$B:$B,$D68,VPA.Director!$A:$A,"&gt;="&amp;M$60,VPA.Director!$A:$A,"&lt;="&amp;M$61,VPA.Director!$D:$D,"&lt;"&amp;0)+sumifs(ADC.Director!$D:$D,ADC.Director!$B:$B,$D68,ADC.Director!$A:$A,"&gt;="&amp;M$60,ADC.Director!$A:$A,"&lt;="&amp;M$61,ADC.Director!$D:$D,"&lt;"&amp;0)+sumifs('000'!$D:$D,'000'!$B:$B,$D68,'000'!$A:$A,"&gt;="&amp;M$60,'000'!$A:$A,"&lt;="&amp;M$61,'000'!$D:$D,"&lt;"&amp;0)+sumifs('500'!$D:$D,'500'!$B:$B,$D68,'500'!$A:$A,"&gt;="&amp;M$60,'500'!$A:$A,"&lt;="&amp;M$61,'500'!$D:$D,"&lt;"&amp;0)+sumifs('300'!$D:$D,'300'!$B:$B,$D68,'300'!$A:$A,"&gt;="&amp;M$60,'300'!$A:$A,"&lt;="&amp;M$61,'300'!$D:$D,"&lt;"&amp;0)+sumifs('600.VPA'!$D:$D,'600.VPA'!$B:$B,$D68,'600.VPA'!$A:$A,"&gt;="&amp;M$60,'600.VPA'!$A:$A,"&lt;="&amp;M$61,'600.VPA'!$D:$D,"&lt;"&amp;0)</f>
        <v>0</v>
      </c>
      <c r="N68" s="149">
        <f>sumifs(Boss!$D:$D,Boss!$B:$B,$D68,Boss!$A:$A,"&gt;="&amp;N$60,Boss!$A:$A,"&lt;="&amp;N$61,Boss!$D:$D,"&gt;"&amp;0)+sumifs(VPA.Director!$D:$D,VPA.Director!$B:$B,$D68,VPA.Director!$A:$A,"&gt;="&amp;N$60,VPA.Director!$A:$A,"&lt;="&amp;N$61,VPA.Director!$D:$D,"&gt;"&amp;0)+sumifs(ADC.Director!$D:$D,ADC.Director!$B:$B,$D68,ADC.Director!$A:$A,"&gt;="&amp;N$60,ADC.Director!$A:$A,"&lt;="&amp;N$61,ADC.Director!$D:$D,"&gt;"&amp;0)+sumifs('000'!$D:$D,'000'!$B:$B,$D68,'000'!$A:$A,"&gt;="&amp;N$60,'000'!$A:$A,"&lt;="&amp;N$61,'000'!$D:$D,"&gt;"&amp;0)+sumifs('500'!$D:$D,'500'!$B:$B,$D68,'500'!$A:$A,"&gt;="&amp;N$60,'500'!$A:$A,"&lt;="&amp;N$60,'500'!$D:$D,"&gt;"&amp;0)+sumifs('300'!$D:$D,'300'!$B:$B,$D68,'300'!$A:$A,"&gt;="&amp;N$60,'300'!$A:$A,"&lt;="&amp;N$61,'300'!$D:$D,"&gt;"&amp;0)+sumifs('600.VPA'!$D:$D,'600.VPA'!$B:$B,$D68,'600.VPA'!$A:$A,"&gt;="&amp;N$60,'600.VPA'!$A:$A,"&lt;="&amp;N$61,'600.VPA'!$D:$D,"&gt;"&amp;0)</f>
        <v>0</v>
      </c>
      <c r="O68" s="148">
        <f>sumifs(Boss!$D:$D,Boss!$B:$B,$D68,Boss!$A:$A,"&gt;="&amp;O$60,Boss!$A:$A,"&lt;="&amp;O$61,Boss!$D:$D,"&lt;"&amp;0)+sumifs(VPA.Director!$D:$D,VPA.Director!$B:$B,$D68,VPA.Director!$A:$A,"&gt;="&amp;O$60,VPA.Director!$A:$A,"&lt;="&amp;O$61,VPA.Director!$D:$D,"&lt;"&amp;0)+sumifs(ADC.Director!$D:$D,ADC.Director!$B:$B,$D68,ADC.Director!$A:$A,"&gt;="&amp;O$60,ADC.Director!$A:$A,"&lt;="&amp;O$61,ADC.Director!$D:$D,"&lt;"&amp;0)+sumifs('000'!$D:$D,'000'!$B:$B,$D68,'000'!$A:$A,"&gt;="&amp;O$60,'000'!$A:$A,"&lt;="&amp;O$61,'000'!$D:$D,"&lt;"&amp;0)+sumifs('500'!$D:$D,'500'!$B:$B,$D68,'500'!$A:$A,"&gt;="&amp;O$60,'500'!$A:$A,"&lt;="&amp;O$61,'500'!$D:$D,"&lt;"&amp;0)+sumifs('300'!$D:$D,'300'!$B:$B,$D68,'300'!$A:$A,"&gt;="&amp;O$60,'300'!$A:$A,"&lt;="&amp;O$61,'300'!$D:$D,"&lt;"&amp;0)+sumifs('600.VPA'!$D:$D,'600.VPA'!$B:$B,$D68,'600.VPA'!$A:$A,"&gt;="&amp;O$60,'600.VPA'!$A:$A,"&lt;="&amp;O$61,'600.VPA'!$D:$D,"&lt;"&amp;0)</f>
        <v>0</v>
      </c>
      <c r="P68" s="149">
        <f>sumifs(Boss!$D:$D,Boss!$B:$B,$D68,Boss!$A:$A,"&gt;="&amp;P$60,Boss!$A:$A,"&lt;="&amp;P$61,Boss!$D:$D,"&gt;"&amp;0)+sumifs(VPA.Director!$D:$D,VPA.Director!$B:$B,$D68,VPA.Director!$A:$A,"&gt;="&amp;P$60,VPA.Director!$A:$A,"&lt;="&amp;P$61,VPA.Director!$D:$D,"&gt;"&amp;0)+sumifs(ADC.Director!$D:$D,ADC.Director!$B:$B,$D68,ADC.Director!$A:$A,"&gt;="&amp;P$60,ADC.Director!$A:$A,"&lt;="&amp;P$61,ADC.Director!$D:$D,"&gt;"&amp;0)+sumifs('000'!$D:$D,'000'!$B:$B,$D68,'000'!$A:$A,"&gt;="&amp;P$60,'000'!$A:$A,"&lt;="&amp;P$61,'000'!$D:$D,"&gt;"&amp;0)+sumifs('500'!$D:$D,'500'!$B:$B,$D68,'500'!$A:$A,"&gt;="&amp;P$60,'500'!$A:$A,"&lt;="&amp;P$60,'500'!$D:$D,"&gt;"&amp;0)+sumifs('300'!$D:$D,'300'!$B:$B,$D68,'300'!$A:$A,"&gt;="&amp;P$60,'300'!$A:$A,"&lt;="&amp;P$61,'300'!$D:$D,"&gt;"&amp;0)+sumifs('600.VPA'!$D:$D,'600.VPA'!$B:$B,$D68,'600.VPA'!$A:$A,"&gt;="&amp;P$60,'600.VPA'!$A:$A,"&lt;="&amp;P$61,'600.VPA'!$D:$D,"&gt;"&amp;0)</f>
        <v>0</v>
      </c>
      <c r="Q68" s="148">
        <f>sumifs(Boss!$D:$D,Boss!$B:$B,$D68,Boss!$A:$A,"&gt;="&amp;Q$60,Boss!$A:$A,"&lt;="&amp;Q$61,Boss!$D:$D,"&lt;"&amp;0)+sumifs(VPA.Director!$D:$D,VPA.Director!$B:$B,$D68,VPA.Director!$A:$A,"&gt;="&amp;Q$60,VPA.Director!$A:$A,"&lt;="&amp;Q$61,VPA.Director!$D:$D,"&lt;"&amp;0)+sumifs(ADC.Director!$D:$D,ADC.Director!$B:$B,$D68,ADC.Director!$A:$A,"&gt;="&amp;Q$60,ADC.Director!$A:$A,"&lt;="&amp;Q$61,ADC.Director!$D:$D,"&lt;"&amp;0)+sumifs('000'!$D:$D,'000'!$B:$B,$D68,'000'!$A:$A,"&gt;="&amp;Q$60,'000'!$A:$A,"&lt;="&amp;Q$61,'000'!$D:$D,"&lt;"&amp;0)+sumifs('500'!$D:$D,'500'!$B:$B,$D68,'500'!$A:$A,"&gt;="&amp;Q$60,'500'!$A:$A,"&lt;="&amp;Q$61,'500'!$D:$D,"&lt;"&amp;0)+sumifs('300'!$D:$D,'300'!$B:$B,$D68,'300'!$A:$A,"&gt;="&amp;Q$60,'300'!$A:$A,"&lt;="&amp;Q$61,'300'!$D:$D,"&lt;"&amp;0)+sumifs('600.VPA'!$D:$D,'600.VPA'!$B:$B,$D68,'600.VPA'!$A:$A,"&gt;="&amp;Q$60,'600.VPA'!$A:$A,"&lt;="&amp;Q$61,'600.VPA'!$D:$D,"&lt;"&amp;0)</f>
        <v>0</v>
      </c>
      <c r="R68" s="149">
        <f>sumifs(Boss!$D:$D,Boss!$B:$B,$D68,Boss!$A:$A,"&gt;="&amp;R$60,Boss!$A:$A,"&lt;="&amp;R$61,Boss!$D:$D,"&gt;"&amp;0)+sumifs(VPA.Director!$D:$D,VPA.Director!$B:$B,$D68,VPA.Director!$A:$A,"&gt;="&amp;R$60,VPA.Director!$A:$A,"&lt;="&amp;R$61,VPA.Director!$D:$D,"&gt;"&amp;0)+sumifs(ADC.Director!$D:$D,ADC.Director!$B:$B,$D68,ADC.Director!$A:$A,"&gt;="&amp;R$60,ADC.Director!$A:$A,"&lt;="&amp;R$61,ADC.Director!$D:$D,"&gt;"&amp;0)+sumifs('000'!$D:$D,'000'!$B:$B,$D68,'000'!$A:$A,"&gt;="&amp;R$60,'000'!$A:$A,"&lt;="&amp;R$61,'000'!$D:$D,"&gt;"&amp;0)+sumifs('500'!$D:$D,'500'!$B:$B,$D68,'500'!$A:$A,"&gt;="&amp;R$60,'500'!$A:$A,"&lt;="&amp;R$60,'500'!$D:$D,"&gt;"&amp;0)+sumifs('300'!$D:$D,'300'!$B:$B,$D68,'300'!$A:$A,"&gt;="&amp;R$60,'300'!$A:$A,"&lt;="&amp;R$61,'300'!$D:$D,"&gt;"&amp;0)+sumifs('600.VPA'!$D:$D,'600.VPA'!$B:$B,$D68,'600.VPA'!$A:$A,"&gt;="&amp;R$60,'600.VPA'!$A:$A,"&lt;="&amp;R$61,'600.VPA'!$D:$D,"&gt;"&amp;0)</f>
        <v>0</v>
      </c>
      <c r="S68" s="148">
        <f>sumifs(Boss!$D:$D,Boss!$B:$B,$D68,Boss!$A:$A,"&gt;="&amp;S$60,Boss!$A:$A,"&lt;="&amp;S$61,Boss!$D:$D,"&lt;"&amp;0)+sumifs(VPA.Director!$D:$D,VPA.Director!$B:$B,$D68,VPA.Director!$A:$A,"&gt;="&amp;S$60,VPA.Director!$A:$A,"&lt;="&amp;S$61,VPA.Director!$D:$D,"&lt;"&amp;0)+sumifs(ADC.Director!$D:$D,ADC.Director!$B:$B,$D68,ADC.Director!$A:$A,"&gt;="&amp;S$60,ADC.Director!$A:$A,"&lt;="&amp;S$61,ADC.Director!$D:$D,"&lt;"&amp;0)+sumifs('000'!$D:$D,'000'!$B:$B,$D68,'000'!$A:$A,"&gt;="&amp;S$60,'000'!$A:$A,"&lt;="&amp;S$61,'000'!$D:$D,"&lt;"&amp;0)+sumifs('500'!$D:$D,'500'!$B:$B,$D68,'500'!$A:$A,"&gt;="&amp;S$60,'500'!$A:$A,"&lt;="&amp;S$61,'500'!$D:$D,"&lt;"&amp;0)+sumifs('300'!$D:$D,'300'!$B:$B,$D68,'300'!$A:$A,"&gt;="&amp;S$60,'300'!$A:$A,"&lt;="&amp;S$61,'300'!$D:$D,"&lt;"&amp;0)+sumifs('600.VPA'!$D:$D,'600.VPA'!$B:$B,$D68,'600.VPA'!$A:$A,"&gt;="&amp;S$60,'600.VPA'!$A:$A,"&lt;="&amp;S$61,'600.VPA'!$D:$D,"&lt;"&amp;0)</f>
        <v>0</v>
      </c>
      <c r="T68" s="149">
        <f>sumifs(Boss!$D:$D,Boss!$B:$B,$D68,Boss!$A:$A,"&gt;="&amp;T$60,Boss!$A:$A,"&lt;="&amp;T$61,Boss!$D:$D,"&gt;"&amp;0)+sumifs(VPA.Director!$D:$D,VPA.Director!$B:$B,$D68,VPA.Director!$A:$A,"&gt;="&amp;T$60,VPA.Director!$A:$A,"&lt;="&amp;T$61,VPA.Director!$D:$D,"&gt;"&amp;0)+sumifs(ADC.Director!$D:$D,ADC.Director!$B:$B,$D68,ADC.Director!$A:$A,"&gt;="&amp;T$60,ADC.Director!$A:$A,"&lt;="&amp;T$61,ADC.Director!$D:$D,"&gt;"&amp;0)+sumifs('000'!$D:$D,'000'!$B:$B,$D68,'000'!$A:$A,"&gt;="&amp;T$60,'000'!$A:$A,"&lt;="&amp;T$61,'000'!$D:$D,"&gt;"&amp;0)+sumifs('500'!$D:$D,'500'!$B:$B,$D68,'500'!$A:$A,"&gt;="&amp;T$60,'500'!$A:$A,"&lt;="&amp;T$60,'500'!$D:$D,"&gt;"&amp;0)+sumifs('300'!$D:$D,'300'!$B:$B,$D68,'300'!$A:$A,"&gt;="&amp;T$60,'300'!$A:$A,"&lt;="&amp;T$61,'300'!$D:$D,"&gt;"&amp;0)+sumifs('600.VPA'!$D:$D,'600.VPA'!$B:$B,$D68,'600.VPA'!$A:$A,"&gt;="&amp;T$60,'600.VPA'!$A:$A,"&lt;="&amp;T$61,'600.VPA'!$D:$D,"&gt;"&amp;0)</f>
        <v>0</v>
      </c>
      <c r="U68" s="144"/>
      <c r="V68" s="148">
        <f>sumifs(Boss!$D:$D,Boss!$B:$B,$D68,Boss!$A:$A,"&gt;="&amp;V$60,Boss!$A:$A,"&lt;="&amp;V$61,Boss!$D:$D,"&lt;"&amp;0)+sumifs(VPA.Director!$D:$D,VPA.Director!$B:$B,$D68,VPA.Director!$A:$A,"&gt;="&amp;V$60,VPA.Director!$A:$A,"&lt;="&amp;V$61,VPA.Director!$D:$D,"&lt;"&amp;0)+sumifs(ADC.Director!$D:$D,ADC.Director!$B:$B,$D68,ADC.Director!$A:$A,"&gt;="&amp;V$60,ADC.Director!$A:$A,"&lt;="&amp;V$61,ADC.Director!$D:$D,"&lt;"&amp;0)+sumifs('000'!$D:$D,'000'!$B:$B,$D68,'000'!$A:$A,"&gt;="&amp;V$60,'000'!$A:$A,"&lt;="&amp;V$61,'000'!$D:$D,"&lt;"&amp;0)+sumifs('500'!$D:$D,'500'!$B:$B,$D68,'500'!$A:$A,"&gt;="&amp;V$60,'500'!$A:$A,"&lt;="&amp;V$61,'500'!$D:$D,"&lt;"&amp;0)+sumifs('300'!$D:$D,'300'!$B:$B,$D68,'300'!$A:$A,"&gt;="&amp;V$60,'300'!$A:$A,"&lt;="&amp;V$61,'300'!$D:$D,"&lt;"&amp;0)+sumifs('600.VPA'!$D:$D,'600.VPA'!$B:$B,$D68,'600.VPA'!$A:$A,"&gt;="&amp;V$60,'600.VPA'!$A:$A,"&lt;="&amp;V$61,'600.VPA'!$D:$D,"&lt;"&amp;0)</f>
        <v>0</v>
      </c>
      <c r="W68" s="149">
        <f>sumifs(Boss!$D:$D,Boss!$B:$B,$D68,Boss!$A:$A,"&gt;="&amp;W$60,Boss!$A:$A,"&lt;="&amp;W$61,Boss!$D:$D,"&gt;"&amp;0)+sumifs(VPA.Director!$D:$D,VPA.Director!$B:$B,$D68,VPA.Director!$A:$A,"&gt;="&amp;W$60,VPA.Director!$A:$A,"&lt;="&amp;W$61,VPA.Director!$D:$D,"&gt;"&amp;0)+sumifs(ADC.Director!$D:$D,ADC.Director!$B:$B,$D68,ADC.Director!$A:$A,"&gt;="&amp;W$60,ADC.Director!$A:$A,"&lt;="&amp;W$61,ADC.Director!$D:$D,"&gt;"&amp;0)+sumifs('000'!$D:$D,'000'!$B:$B,$D68,'000'!$A:$A,"&gt;="&amp;W$60,'000'!$A:$A,"&lt;="&amp;W$61,'000'!$D:$D,"&gt;"&amp;0)+sumifs('500'!$D:$D,'500'!$B:$B,$D68,'500'!$A:$A,"&gt;="&amp;W$60,'500'!$A:$A,"&lt;="&amp;W$60,'500'!$D:$D,"&gt;"&amp;0)+sumifs('300'!$D:$D,'300'!$B:$B,$D68,'300'!$A:$A,"&gt;="&amp;W$60,'300'!$A:$A,"&lt;="&amp;W$61,'300'!$D:$D,"&gt;"&amp;0)+sumifs('600.VPA'!$D:$D,'600.VPA'!$B:$B,$D68,'600.VPA'!$A:$A,"&gt;="&amp;W$60,'600.VPA'!$A:$A,"&lt;="&amp;W$61,'600.VPA'!$D:$D,"&gt;"&amp;0)</f>
        <v>0</v>
      </c>
      <c r="X68" s="148">
        <f>sumifs(Boss!$D:$D,Boss!$B:$B,$D68,Boss!$A:$A,"&gt;="&amp;X$60,Boss!$A:$A,"&lt;="&amp;X$61,Boss!$D:$D,"&lt;"&amp;0)+sumifs(VPA.Director!$D:$D,VPA.Director!$B:$B,$D68,VPA.Director!$A:$A,"&gt;="&amp;X$60,VPA.Director!$A:$A,"&lt;="&amp;X$61,VPA.Director!$D:$D,"&lt;"&amp;0)+sumifs(ADC.Director!$D:$D,ADC.Director!$B:$B,$D68,ADC.Director!$A:$A,"&gt;="&amp;X$60,ADC.Director!$A:$A,"&lt;="&amp;X$61,ADC.Director!$D:$D,"&lt;"&amp;0)+sumifs('000'!$D:$D,'000'!$B:$B,$D68,'000'!$A:$A,"&gt;="&amp;X$60,'000'!$A:$A,"&lt;="&amp;X$61,'000'!$D:$D,"&lt;"&amp;0)+sumifs('500'!$D:$D,'500'!$B:$B,$D68,'500'!$A:$A,"&gt;="&amp;X$60,'500'!$A:$A,"&lt;="&amp;X$61,'500'!$D:$D,"&lt;"&amp;0)+sumifs('300'!$D:$D,'300'!$B:$B,$D68,'300'!$A:$A,"&gt;="&amp;X$60,'300'!$A:$A,"&lt;="&amp;X$61,'300'!$D:$D,"&lt;"&amp;0)+sumifs('600.VPA'!$D:$D,'600.VPA'!$B:$B,$D68,'600.VPA'!$A:$A,"&gt;="&amp;X$60,'600.VPA'!$A:$A,"&lt;="&amp;X$61,'600.VPA'!$D:$D,"&lt;"&amp;0)</f>
        <v>0</v>
      </c>
      <c r="Y68" s="149">
        <f>sumifs(Boss!$D:$D,Boss!$B:$B,$D68,Boss!$A:$A,"&gt;="&amp;Y$60,Boss!$A:$A,"&lt;="&amp;Y$61,Boss!$D:$D,"&gt;"&amp;0)+sumifs(VPA.Director!$D:$D,VPA.Director!$B:$B,$D68,VPA.Director!$A:$A,"&gt;="&amp;Y$60,VPA.Director!$A:$A,"&lt;="&amp;Y$61,VPA.Director!$D:$D,"&gt;"&amp;0)+sumifs(ADC.Director!$D:$D,ADC.Director!$B:$B,$D68,ADC.Director!$A:$A,"&gt;="&amp;Y$60,ADC.Director!$A:$A,"&lt;="&amp;Y$61,ADC.Director!$D:$D,"&gt;"&amp;0)+sumifs('000'!$D:$D,'000'!$B:$B,$D68,'000'!$A:$A,"&gt;="&amp;Y$60,'000'!$A:$A,"&lt;="&amp;Y$61,'000'!$D:$D,"&gt;"&amp;0)+sumifs('500'!$D:$D,'500'!$B:$B,$D68,'500'!$A:$A,"&gt;="&amp;Y$60,'500'!$A:$A,"&lt;="&amp;Y$60,'500'!$D:$D,"&gt;"&amp;0)+sumifs('300'!$D:$D,'300'!$B:$B,$D68,'300'!$A:$A,"&gt;="&amp;Y$60,'300'!$A:$A,"&lt;="&amp;Y$61,'300'!$D:$D,"&gt;"&amp;0)+sumifs('600.VPA'!$D:$D,'600.VPA'!$B:$B,$D68,'600.VPA'!$A:$A,"&gt;="&amp;Y$60,'600.VPA'!$A:$A,"&lt;="&amp;Y$61,'600.VPA'!$D:$D,"&gt;"&amp;0)</f>
        <v>0</v>
      </c>
      <c r="Z68" s="148">
        <f>sumifs(Boss!$D:$D,Boss!$B:$B,$D68,Boss!$A:$A,"&gt;="&amp;Z$60,Boss!$A:$A,"&lt;="&amp;Z$61,Boss!$D:$D,"&lt;"&amp;0)+sumifs(VPA.Director!$D:$D,VPA.Director!$B:$B,$D68,VPA.Director!$A:$A,"&gt;="&amp;Z$60,VPA.Director!$A:$A,"&lt;="&amp;Z$61,VPA.Director!$D:$D,"&lt;"&amp;0)+sumifs(ADC.Director!$D:$D,ADC.Director!$B:$B,$D68,ADC.Director!$A:$A,"&gt;="&amp;Z$60,ADC.Director!$A:$A,"&lt;="&amp;Z$61,ADC.Director!$D:$D,"&lt;"&amp;0)+sumifs('000'!$D:$D,'000'!$B:$B,$D68,'000'!$A:$A,"&gt;="&amp;Z$60,'000'!$A:$A,"&lt;="&amp;Z$61,'000'!$D:$D,"&lt;"&amp;0)+sumifs('500'!$D:$D,'500'!$B:$B,$D68,'500'!$A:$A,"&gt;="&amp;Z$60,'500'!$A:$A,"&lt;="&amp;Z$61,'500'!$D:$D,"&lt;"&amp;0)+sumifs('300'!$D:$D,'300'!$B:$B,$D68,'300'!$A:$A,"&gt;="&amp;Z$60,'300'!$A:$A,"&lt;="&amp;Z$61,'300'!$D:$D,"&lt;"&amp;0)+sumifs('600.VPA'!$D:$D,'600.VPA'!$B:$B,$D68,'600.VPA'!$A:$A,"&gt;="&amp;Z$60,'600.VPA'!$A:$A,"&lt;="&amp;Z$61,'600.VPA'!$D:$D,"&lt;"&amp;0)</f>
        <v>0</v>
      </c>
      <c r="AA68" s="149">
        <f>sumifs(Boss!$D:$D,Boss!$B:$B,$D68,Boss!$A:$A,"&gt;="&amp;AA$60,Boss!$A:$A,"&lt;="&amp;AA$61,Boss!$D:$D,"&gt;"&amp;0)+sumifs(VPA.Director!$D:$D,VPA.Director!$B:$B,$D68,VPA.Director!$A:$A,"&gt;="&amp;AA$60,VPA.Director!$A:$A,"&lt;="&amp;AA$61,VPA.Director!$D:$D,"&gt;"&amp;0)+sumifs(ADC.Director!$D:$D,ADC.Director!$B:$B,$D68,ADC.Director!$A:$A,"&gt;="&amp;AA$60,ADC.Director!$A:$A,"&lt;="&amp;AA$61,ADC.Director!$D:$D,"&gt;"&amp;0)+sumifs('000'!$D:$D,'000'!$B:$B,$D68,'000'!$A:$A,"&gt;="&amp;AA$60,'000'!$A:$A,"&lt;="&amp;AA$61,'000'!$D:$D,"&gt;"&amp;0)+sumifs('500'!$D:$D,'500'!$B:$B,$D68,'500'!$A:$A,"&gt;="&amp;AA$60,'500'!$A:$A,"&lt;="&amp;AA$60,'500'!$D:$D,"&gt;"&amp;0)+sumifs('300'!$D:$D,'300'!$B:$B,$D68,'300'!$A:$A,"&gt;="&amp;AA$60,'300'!$A:$A,"&lt;="&amp;AA$61,'300'!$D:$D,"&gt;"&amp;0)+sumifs('600.VPA'!$D:$D,'600.VPA'!$B:$B,$D68,'600.VPA'!$A:$A,"&gt;="&amp;AA$60,'600.VPA'!$A:$A,"&lt;="&amp;AA$61,'600.VPA'!$D:$D,"&gt;"&amp;0)</f>
        <v>0</v>
      </c>
      <c r="AB68" s="148">
        <f>sumifs(Boss!$D:$D,Boss!$B:$B,$D68,Boss!$A:$A,"&gt;="&amp;AB$60,Boss!$A:$A,"&lt;="&amp;AB$61,Boss!$D:$D,"&lt;"&amp;0)+sumifs(VPA.Director!$D:$D,VPA.Director!$B:$B,$D68,VPA.Director!$A:$A,"&gt;="&amp;AB$60,VPA.Director!$A:$A,"&lt;="&amp;AB$61,VPA.Director!$D:$D,"&lt;"&amp;0)+sumifs(ADC.Director!$D:$D,ADC.Director!$B:$B,$D68,ADC.Director!$A:$A,"&gt;="&amp;AB$60,ADC.Director!$A:$A,"&lt;="&amp;AB$61,ADC.Director!$D:$D,"&lt;"&amp;0)+sumifs('000'!$D:$D,'000'!$B:$B,$D68,'000'!$A:$A,"&gt;="&amp;AB$60,'000'!$A:$A,"&lt;="&amp;AB$61,'000'!$D:$D,"&lt;"&amp;0)+sumifs('500'!$D:$D,'500'!$B:$B,$D68,'500'!$A:$A,"&gt;="&amp;AB$60,'500'!$A:$A,"&lt;="&amp;AB$61,'500'!$D:$D,"&lt;"&amp;0)+sumifs('300'!$D:$D,'300'!$B:$B,$D68,'300'!$A:$A,"&gt;="&amp;AB$60,'300'!$A:$A,"&lt;="&amp;AB$61,'300'!$D:$D,"&lt;"&amp;0)+sumifs('600.VPA'!$D:$D,'600.VPA'!$B:$B,$D68,'600.VPA'!$A:$A,"&gt;="&amp;AB$60,'600.VPA'!$A:$A,"&lt;="&amp;AB$61,'600.VPA'!$D:$D,"&lt;"&amp;0)</f>
        <v>0</v>
      </c>
      <c r="AC68" s="149">
        <f>sumifs(Boss!$D:$D,Boss!$B:$B,$D68,Boss!$A:$A,"&gt;="&amp;AC$60,Boss!$A:$A,"&lt;="&amp;AC$61,Boss!$D:$D,"&gt;"&amp;0)+sumifs(VPA.Director!$D:$D,VPA.Director!$B:$B,$D68,VPA.Director!$A:$A,"&gt;="&amp;AC$60,VPA.Director!$A:$A,"&lt;="&amp;AC$61,VPA.Director!$D:$D,"&gt;"&amp;0)+sumifs(ADC.Director!$D:$D,ADC.Director!$B:$B,$D68,ADC.Director!$A:$A,"&gt;="&amp;AC$60,ADC.Director!$A:$A,"&lt;="&amp;AC$61,ADC.Director!$D:$D,"&gt;"&amp;0)+sumifs('000'!$D:$D,'000'!$B:$B,$D68,'000'!$A:$A,"&gt;="&amp;AC$60,'000'!$A:$A,"&lt;="&amp;AC$61,'000'!$D:$D,"&gt;"&amp;0)+sumifs('500'!$D:$D,'500'!$B:$B,$D68,'500'!$A:$A,"&gt;="&amp;AC$60,'500'!$A:$A,"&lt;="&amp;AC$60,'500'!$D:$D,"&gt;"&amp;0)+sumifs('300'!$D:$D,'300'!$B:$B,$D68,'300'!$A:$A,"&gt;="&amp;AC$60,'300'!$A:$A,"&lt;="&amp;AC$61,'300'!$D:$D,"&gt;"&amp;0)+sumifs('600.VPA'!$D:$D,'600.VPA'!$B:$B,$D68,'600.VPA'!$A:$A,"&gt;="&amp;AC$60,'600.VPA'!$A:$A,"&lt;="&amp;AC$61,'600.VPA'!$D:$D,"&gt;"&amp;0)</f>
        <v>0</v>
      </c>
      <c r="AD68" s="148">
        <f>sumifs(Boss!$D:$D,Boss!$B:$B,$D68,Boss!$A:$A,"&gt;="&amp;AD$60,Boss!$A:$A,"&lt;="&amp;AD$61,Boss!$D:$D,"&lt;"&amp;0)+sumifs(VPA.Director!$D:$D,VPA.Director!$B:$B,$D68,VPA.Director!$A:$A,"&gt;="&amp;AD$60,VPA.Director!$A:$A,"&lt;="&amp;AD$61,VPA.Director!$D:$D,"&lt;"&amp;0)+sumifs(ADC.Director!$D:$D,ADC.Director!$B:$B,$D68,ADC.Director!$A:$A,"&gt;="&amp;AD$60,ADC.Director!$A:$A,"&lt;="&amp;AD$61,ADC.Director!$D:$D,"&lt;"&amp;0)+sumifs('000'!$D:$D,'000'!$B:$B,$D68,'000'!$A:$A,"&gt;="&amp;AD$60,'000'!$A:$A,"&lt;="&amp;AD$61,'000'!$D:$D,"&lt;"&amp;0)+sumifs('500'!$D:$D,'500'!$B:$B,$D68,'500'!$A:$A,"&gt;="&amp;AD$60,'500'!$A:$A,"&lt;="&amp;AD$61,'500'!$D:$D,"&lt;"&amp;0)+sumifs('300'!$D:$D,'300'!$B:$B,$D68,'300'!$A:$A,"&gt;="&amp;AD$60,'300'!$A:$A,"&lt;="&amp;AD$61,'300'!$D:$D,"&lt;"&amp;0)+sumifs('600.VPA'!$D:$D,'600.VPA'!$B:$B,$D68,'600.VPA'!$A:$A,"&gt;="&amp;AD$60,'600.VPA'!$A:$A,"&lt;="&amp;AD$61,'600.VPA'!$D:$D,"&lt;"&amp;0)</f>
        <v>0</v>
      </c>
      <c r="AE68" s="149">
        <f>sumifs(Boss!$D:$D,Boss!$B:$B,$D68,Boss!$A:$A,"&gt;="&amp;AE$60,Boss!$A:$A,"&lt;="&amp;AE$61,Boss!$D:$D,"&gt;"&amp;0)+sumifs(VPA.Director!$D:$D,VPA.Director!$B:$B,$D68,VPA.Director!$A:$A,"&gt;="&amp;AE$60,VPA.Director!$A:$A,"&lt;="&amp;AE$61,VPA.Director!$D:$D,"&gt;"&amp;0)+sumifs(ADC.Director!$D:$D,ADC.Director!$B:$B,$D68,ADC.Director!$A:$A,"&gt;="&amp;AE$60,ADC.Director!$A:$A,"&lt;="&amp;AE$61,ADC.Director!$D:$D,"&gt;"&amp;0)+sumifs('000'!$D:$D,'000'!$B:$B,$D68,'000'!$A:$A,"&gt;="&amp;AE$60,'000'!$A:$A,"&lt;="&amp;AE$61,'000'!$D:$D,"&gt;"&amp;0)+sumifs('500'!$D:$D,'500'!$B:$B,$D68,'500'!$A:$A,"&gt;="&amp;AE$60,'500'!$A:$A,"&lt;="&amp;AE$60,'500'!$D:$D,"&gt;"&amp;0)+sumifs('300'!$D:$D,'300'!$B:$B,$D68,'300'!$A:$A,"&gt;="&amp;AE$60,'300'!$A:$A,"&lt;="&amp;AE$61,'300'!$D:$D,"&gt;"&amp;0)+sumifs('600.VPA'!$D:$D,'600.VPA'!$B:$B,$D68,'600.VPA'!$A:$A,"&gt;="&amp;AE$60,'600.VPA'!$A:$A,"&lt;="&amp;AE$61,'600.VPA'!$D:$D,"&gt;"&amp;0)</f>
        <v>0</v>
      </c>
      <c r="AF68" s="148">
        <f>sumifs(Boss!$D:$D,Boss!$B:$B,$D68,Boss!$A:$A,"&gt;="&amp;AF$60,Boss!$A:$A,"&lt;="&amp;AF$61,Boss!$D:$D,"&lt;"&amp;0)+sumifs(VPA.Director!$D:$D,VPA.Director!$B:$B,$D68,VPA.Director!$A:$A,"&gt;="&amp;AF$60,VPA.Director!$A:$A,"&lt;="&amp;AF$61,VPA.Director!$D:$D,"&lt;"&amp;0)+sumifs(ADC.Director!$D:$D,ADC.Director!$B:$B,$D68,ADC.Director!$A:$A,"&gt;="&amp;AF$60,ADC.Director!$A:$A,"&lt;="&amp;AF$61,ADC.Director!$D:$D,"&lt;"&amp;0)+sumifs('000'!$D:$D,'000'!$B:$B,$D68,'000'!$A:$A,"&gt;="&amp;AF$60,'000'!$A:$A,"&lt;="&amp;AF$61,'000'!$D:$D,"&lt;"&amp;0)+sumifs('500'!$D:$D,'500'!$B:$B,$D68,'500'!$A:$A,"&gt;="&amp;AF$60,'500'!$A:$A,"&lt;="&amp;AF$61,'500'!$D:$D,"&lt;"&amp;0)+sumifs('300'!$D:$D,'300'!$B:$B,$D68,'300'!$A:$A,"&gt;="&amp;AF$60,'300'!$A:$A,"&lt;="&amp;AF$61,'300'!$D:$D,"&lt;"&amp;0)+sumifs('600.VPA'!$D:$D,'600.VPA'!$B:$B,$D68,'600.VPA'!$A:$A,"&gt;="&amp;AF$60,'600.VPA'!$A:$A,"&lt;="&amp;AF$61,'600.VPA'!$D:$D,"&lt;"&amp;0)</f>
        <v>0</v>
      </c>
      <c r="AG68" s="149">
        <f>sumifs(Boss!$D:$D,Boss!$B:$B,$D68,Boss!$A:$A,"&gt;="&amp;AG$60,Boss!$A:$A,"&lt;="&amp;AG$61,Boss!$D:$D,"&gt;"&amp;0)+sumifs(VPA.Director!$D:$D,VPA.Director!$B:$B,$D68,VPA.Director!$A:$A,"&gt;="&amp;AG$60,VPA.Director!$A:$A,"&lt;="&amp;AG$61,VPA.Director!$D:$D,"&gt;"&amp;0)+sumifs(ADC.Director!$D:$D,ADC.Director!$B:$B,$D68,ADC.Director!$A:$A,"&gt;="&amp;AG$60,ADC.Director!$A:$A,"&lt;="&amp;AG$61,ADC.Director!$D:$D,"&gt;"&amp;0)+sumifs('000'!$D:$D,'000'!$B:$B,$D68,'000'!$A:$A,"&gt;="&amp;AG$60,'000'!$A:$A,"&lt;="&amp;AG$61,'000'!$D:$D,"&gt;"&amp;0)+sumifs('500'!$D:$D,'500'!$B:$B,$D68,'500'!$A:$A,"&gt;="&amp;AG$60,'500'!$A:$A,"&lt;="&amp;AG$60,'500'!$D:$D,"&gt;"&amp;0)+sumifs('300'!$D:$D,'300'!$B:$B,$D68,'300'!$A:$A,"&gt;="&amp;AG$60,'300'!$A:$A,"&lt;="&amp;AG$61,'300'!$D:$D,"&gt;"&amp;0)+sumifs('600.VPA'!$D:$D,'600.VPA'!$B:$B,$D68,'600.VPA'!$A:$A,"&gt;="&amp;AG$60,'600.VPA'!$A:$A,"&lt;="&amp;AG$61,'600.VPA'!$D:$D,"&gt;"&amp;0)</f>
        <v>0</v>
      </c>
      <c r="AH68" s="150">
        <f t="shared" ref="AH68:AI68" si="7">sum(I68,K68,M68,O68,Q68,S68,V68,X68,Z68,AB68,AD68,AF68)</f>
        <v>0</v>
      </c>
      <c r="AI68" s="151">
        <f t="shared" si="7"/>
        <v>0</v>
      </c>
      <c r="AJ68" s="150">
        <f t="shared" si="4"/>
        <v>0</v>
      </c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</row>
    <row r="69">
      <c r="A69" s="86"/>
      <c r="B69" s="144"/>
      <c r="D69" s="146" t="s">
        <v>56</v>
      </c>
      <c r="E69" s="147" t="s">
        <v>9</v>
      </c>
      <c r="F69" s="146" t="s">
        <v>140</v>
      </c>
      <c r="G69" s="146" t="s">
        <v>58</v>
      </c>
      <c r="H69" s="146" t="s">
        <v>42</v>
      </c>
      <c r="I69" s="148">
        <f>sumifs(Boss!$D:$D,Boss!$B:$B,$D69,Boss!$A:$A,"&gt;="&amp;I$60,Boss!$A:$A,"&lt;="&amp;I$61,Boss!$D:$D,"&lt;"&amp;0)+sumifs(VPA.Director!$D:$D,VPA.Director!$B:$B,$D69,VPA.Director!$A:$A,"&gt;="&amp;I$60,VPA.Director!$A:$A,"&lt;="&amp;I$61,VPA.Director!$D:$D,"&lt;"&amp;0)+sumifs(ADC.Director!$D:$D,ADC.Director!$B:$B,$D69,ADC.Director!$A:$A,"&gt;="&amp;I$60,ADC.Director!$A:$A,"&lt;="&amp;I$61,ADC.Director!$D:$D,"&lt;"&amp;0)+sumifs('000'!$D:$D,'000'!$B:$B,$D69,'000'!$A:$A,"&gt;="&amp;I$60,'000'!$A:$A,"&lt;="&amp;I$61,'000'!$D:$D,"&lt;"&amp;0)+sumifs('500'!$D:$D,'500'!$B:$B,$D69,'500'!$A:$A,"&gt;="&amp;I$60,'500'!$A:$A,"&lt;="&amp;I$61,'500'!$D:$D,"&lt;"&amp;0)+sumifs('300'!$D:$D,'300'!$B:$B,$D69,'300'!$A:$A,"&gt;="&amp;I$60,'300'!$A:$A,"&lt;="&amp;I$61,'300'!$D:$D,"&lt;"&amp;0)+sumifs('600.VPA'!$D:$D,'600.VPA'!$B:$B,$D69,'600.VPA'!$A:$A,"&gt;="&amp;I$60,'600.VPA'!$A:$A,"&lt;="&amp;I$61,'600.VPA'!$D:$D,"&lt;"&amp;0)</f>
        <v>0</v>
      </c>
      <c r="J69" s="149">
        <f>sumifs(Boss!$D:$D,Boss!$B:$B,$D69,Boss!$A:$A,"&gt;="&amp;J$60,Boss!$A:$A,"&lt;="&amp;J$61,Boss!$D:$D,"&gt;"&amp;0)+sumifs(VPA.Director!$D:$D,VPA.Director!$B:$B,$D69,VPA.Director!$A:$A,"&gt;="&amp;J$60,VPA.Director!$A:$A,"&lt;="&amp;J$61,VPA.Director!$D:$D,"&gt;"&amp;0)+sumifs(ADC.Director!$D:$D,ADC.Director!$B:$B,$D69,ADC.Director!$A:$A,"&gt;="&amp;J$60,ADC.Director!$A:$A,"&lt;="&amp;J$61,ADC.Director!$D:$D,"&gt;"&amp;0)+sumifs('000'!$D:$D,'000'!$B:$B,$D69,'000'!$A:$A,"&gt;="&amp;J$60,'000'!$A:$A,"&lt;="&amp;J$61,'000'!$D:$D,"&gt;"&amp;0)+sumifs('500'!$D:$D,'500'!$B:$B,$D69,'500'!$A:$A,"&gt;="&amp;J$60,'500'!$A:$A,"&lt;="&amp;J$60,'500'!$D:$D,"&gt;"&amp;0)+sumifs('300'!$D:$D,'300'!$B:$B,$D69,'300'!$A:$A,"&gt;="&amp;J$60,'300'!$A:$A,"&lt;="&amp;J$61,'300'!$D:$D,"&gt;"&amp;0)+sumifs('600.VPA'!$D:$D,'600.VPA'!$B:$B,$D69,'600.VPA'!$A:$A,"&gt;="&amp;J$60,'600.VPA'!$A:$A,"&lt;="&amp;J$61,'600.VPA'!$D:$D,"&gt;"&amp;0)</f>
        <v>0</v>
      </c>
      <c r="K69" s="148">
        <f>sumifs(Boss!$D:$D,Boss!$B:$B,$D69,Boss!$A:$A,"&gt;="&amp;K$60,Boss!$A:$A,"&lt;="&amp;K$61,Boss!$D:$D,"&lt;"&amp;0)+sumifs(VPA.Director!$D:$D,VPA.Director!$B:$B,$D69,VPA.Director!$A:$A,"&gt;="&amp;K$60,VPA.Director!$A:$A,"&lt;="&amp;K$61,VPA.Director!$D:$D,"&lt;"&amp;0)+sumifs(ADC.Director!$D:$D,ADC.Director!$B:$B,$D69,ADC.Director!$A:$A,"&gt;="&amp;K$60,ADC.Director!$A:$A,"&lt;="&amp;K$61,ADC.Director!$D:$D,"&lt;"&amp;0)+sumifs('000'!$D:$D,'000'!$B:$B,$D69,'000'!$A:$A,"&gt;="&amp;K$60,'000'!$A:$A,"&lt;="&amp;K$61,'000'!$D:$D,"&lt;"&amp;0)+sumifs('500'!$D:$D,'500'!$B:$B,$D69,'500'!$A:$A,"&gt;="&amp;K$60,'500'!$A:$A,"&lt;="&amp;K$61,'500'!$D:$D,"&lt;"&amp;0)+sumifs('300'!$D:$D,'300'!$B:$B,$D69,'300'!$A:$A,"&gt;="&amp;K$60,'300'!$A:$A,"&lt;="&amp;K$61,'300'!$D:$D,"&lt;"&amp;0)+sumifs('600.VPA'!$D:$D,'600.VPA'!$B:$B,$D69,'600.VPA'!$A:$A,"&gt;="&amp;K$60,'600.VPA'!$A:$A,"&lt;="&amp;K$61,'600.VPA'!$D:$D,"&lt;"&amp;0)</f>
        <v>0</v>
      </c>
      <c r="L69" s="149">
        <f>sumifs(Boss!$D:$D,Boss!$B:$B,$D69,Boss!$A:$A,"&gt;="&amp;L$60,Boss!$A:$A,"&lt;="&amp;L$61,Boss!$D:$D,"&gt;"&amp;0)+sumifs(VPA.Director!$D:$D,VPA.Director!$B:$B,$D69,VPA.Director!$A:$A,"&gt;="&amp;L$60,VPA.Director!$A:$A,"&lt;="&amp;L$61,VPA.Director!$D:$D,"&gt;"&amp;0)+sumifs(ADC.Director!$D:$D,ADC.Director!$B:$B,$D69,ADC.Director!$A:$A,"&gt;="&amp;L$60,ADC.Director!$A:$A,"&lt;="&amp;L$61,ADC.Director!$D:$D,"&gt;"&amp;0)+sumifs('000'!$D:$D,'000'!$B:$B,$D69,'000'!$A:$A,"&gt;="&amp;L$60,'000'!$A:$A,"&lt;="&amp;L$61,'000'!$D:$D,"&gt;"&amp;0)+sumifs('500'!$D:$D,'500'!$B:$B,$D69,'500'!$A:$A,"&gt;="&amp;L$60,'500'!$A:$A,"&lt;="&amp;L$60,'500'!$D:$D,"&gt;"&amp;0)+sumifs('300'!$D:$D,'300'!$B:$B,$D69,'300'!$A:$A,"&gt;="&amp;L$60,'300'!$A:$A,"&lt;="&amp;L$61,'300'!$D:$D,"&gt;"&amp;0)+sumifs('600.VPA'!$D:$D,'600.VPA'!$B:$B,$D69,'600.VPA'!$A:$A,"&gt;="&amp;L$60,'600.VPA'!$A:$A,"&lt;="&amp;L$61,'600.VPA'!$D:$D,"&gt;"&amp;0)</f>
        <v>0</v>
      </c>
      <c r="M69" s="148">
        <f>sumifs(Boss!$D:$D,Boss!$B:$B,$D69,Boss!$A:$A,"&gt;="&amp;M$60,Boss!$A:$A,"&lt;="&amp;M$61,Boss!$D:$D,"&lt;"&amp;0)+sumifs(VPA.Director!$D:$D,VPA.Director!$B:$B,$D69,VPA.Director!$A:$A,"&gt;="&amp;M$60,VPA.Director!$A:$A,"&lt;="&amp;M$61,VPA.Director!$D:$D,"&lt;"&amp;0)+sumifs(ADC.Director!$D:$D,ADC.Director!$B:$B,$D69,ADC.Director!$A:$A,"&gt;="&amp;M$60,ADC.Director!$A:$A,"&lt;="&amp;M$61,ADC.Director!$D:$D,"&lt;"&amp;0)+sumifs('000'!$D:$D,'000'!$B:$B,$D69,'000'!$A:$A,"&gt;="&amp;M$60,'000'!$A:$A,"&lt;="&amp;M$61,'000'!$D:$D,"&lt;"&amp;0)+sumifs('500'!$D:$D,'500'!$B:$B,$D69,'500'!$A:$A,"&gt;="&amp;M$60,'500'!$A:$A,"&lt;="&amp;M$61,'500'!$D:$D,"&lt;"&amp;0)+sumifs('300'!$D:$D,'300'!$B:$B,$D69,'300'!$A:$A,"&gt;="&amp;M$60,'300'!$A:$A,"&lt;="&amp;M$61,'300'!$D:$D,"&lt;"&amp;0)+sumifs('600.VPA'!$D:$D,'600.VPA'!$B:$B,$D69,'600.VPA'!$A:$A,"&gt;="&amp;M$60,'600.VPA'!$A:$A,"&lt;="&amp;M$61,'600.VPA'!$D:$D,"&lt;"&amp;0)</f>
        <v>0</v>
      </c>
      <c r="N69" s="149">
        <f>sumifs(Boss!$D:$D,Boss!$B:$B,$D69,Boss!$A:$A,"&gt;="&amp;N$60,Boss!$A:$A,"&lt;="&amp;N$61,Boss!$D:$D,"&gt;"&amp;0)+sumifs(VPA.Director!$D:$D,VPA.Director!$B:$B,$D69,VPA.Director!$A:$A,"&gt;="&amp;N$60,VPA.Director!$A:$A,"&lt;="&amp;N$61,VPA.Director!$D:$D,"&gt;"&amp;0)+sumifs(ADC.Director!$D:$D,ADC.Director!$B:$B,$D69,ADC.Director!$A:$A,"&gt;="&amp;N$60,ADC.Director!$A:$A,"&lt;="&amp;N$61,ADC.Director!$D:$D,"&gt;"&amp;0)+sumifs('000'!$D:$D,'000'!$B:$B,$D69,'000'!$A:$A,"&gt;="&amp;N$60,'000'!$A:$A,"&lt;="&amp;N$61,'000'!$D:$D,"&gt;"&amp;0)+sumifs('500'!$D:$D,'500'!$B:$B,$D69,'500'!$A:$A,"&gt;="&amp;N$60,'500'!$A:$A,"&lt;="&amp;N$60,'500'!$D:$D,"&gt;"&amp;0)+sumifs('300'!$D:$D,'300'!$B:$B,$D69,'300'!$A:$A,"&gt;="&amp;N$60,'300'!$A:$A,"&lt;="&amp;N$61,'300'!$D:$D,"&gt;"&amp;0)+sumifs('600.VPA'!$D:$D,'600.VPA'!$B:$B,$D69,'600.VPA'!$A:$A,"&gt;="&amp;N$60,'600.VPA'!$A:$A,"&lt;="&amp;N$61,'600.VPA'!$D:$D,"&gt;"&amp;0)</f>
        <v>0</v>
      </c>
      <c r="O69" s="148">
        <f>sumifs(Boss!$D:$D,Boss!$B:$B,$D69,Boss!$A:$A,"&gt;="&amp;O$60,Boss!$A:$A,"&lt;="&amp;O$61,Boss!$D:$D,"&lt;"&amp;0)+sumifs(VPA.Director!$D:$D,VPA.Director!$B:$B,$D69,VPA.Director!$A:$A,"&gt;="&amp;O$60,VPA.Director!$A:$A,"&lt;="&amp;O$61,VPA.Director!$D:$D,"&lt;"&amp;0)+sumifs(ADC.Director!$D:$D,ADC.Director!$B:$B,$D69,ADC.Director!$A:$A,"&gt;="&amp;O$60,ADC.Director!$A:$A,"&lt;="&amp;O$61,ADC.Director!$D:$D,"&lt;"&amp;0)+sumifs('000'!$D:$D,'000'!$B:$B,$D69,'000'!$A:$A,"&gt;="&amp;O$60,'000'!$A:$A,"&lt;="&amp;O$61,'000'!$D:$D,"&lt;"&amp;0)+sumifs('500'!$D:$D,'500'!$B:$B,$D69,'500'!$A:$A,"&gt;="&amp;O$60,'500'!$A:$A,"&lt;="&amp;O$61,'500'!$D:$D,"&lt;"&amp;0)+sumifs('300'!$D:$D,'300'!$B:$B,$D69,'300'!$A:$A,"&gt;="&amp;O$60,'300'!$A:$A,"&lt;="&amp;O$61,'300'!$D:$D,"&lt;"&amp;0)+sumifs('600.VPA'!$D:$D,'600.VPA'!$B:$B,$D69,'600.VPA'!$A:$A,"&gt;="&amp;O$60,'600.VPA'!$A:$A,"&lt;="&amp;O$61,'600.VPA'!$D:$D,"&lt;"&amp;0)</f>
        <v>0</v>
      </c>
      <c r="P69" s="149">
        <f>sumifs(Boss!$D:$D,Boss!$B:$B,$D69,Boss!$A:$A,"&gt;="&amp;P$60,Boss!$A:$A,"&lt;="&amp;P$61,Boss!$D:$D,"&gt;"&amp;0)+sumifs(VPA.Director!$D:$D,VPA.Director!$B:$B,$D69,VPA.Director!$A:$A,"&gt;="&amp;P$60,VPA.Director!$A:$A,"&lt;="&amp;P$61,VPA.Director!$D:$D,"&gt;"&amp;0)+sumifs(ADC.Director!$D:$D,ADC.Director!$B:$B,$D69,ADC.Director!$A:$A,"&gt;="&amp;P$60,ADC.Director!$A:$A,"&lt;="&amp;P$61,ADC.Director!$D:$D,"&gt;"&amp;0)+sumifs('000'!$D:$D,'000'!$B:$B,$D69,'000'!$A:$A,"&gt;="&amp;P$60,'000'!$A:$A,"&lt;="&amp;P$61,'000'!$D:$D,"&gt;"&amp;0)+sumifs('500'!$D:$D,'500'!$B:$B,$D69,'500'!$A:$A,"&gt;="&amp;P$60,'500'!$A:$A,"&lt;="&amp;P$60,'500'!$D:$D,"&gt;"&amp;0)+sumifs('300'!$D:$D,'300'!$B:$B,$D69,'300'!$A:$A,"&gt;="&amp;P$60,'300'!$A:$A,"&lt;="&amp;P$61,'300'!$D:$D,"&gt;"&amp;0)+sumifs('600.VPA'!$D:$D,'600.VPA'!$B:$B,$D69,'600.VPA'!$A:$A,"&gt;="&amp;P$60,'600.VPA'!$A:$A,"&lt;="&amp;P$61,'600.VPA'!$D:$D,"&gt;"&amp;0)</f>
        <v>0</v>
      </c>
      <c r="Q69" s="148">
        <f>sumifs(Boss!$D:$D,Boss!$B:$B,$D69,Boss!$A:$A,"&gt;="&amp;Q$60,Boss!$A:$A,"&lt;="&amp;Q$61,Boss!$D:$D,"&lt;"&amp;0)+sumifs(VPA.Director!$D:$D,VPA.Director!$B:$B,$D69,VPA.Director!$A:$A,"&gt;="&amp;Q$60,VPA.Director!$A:$A,"&lt;="&amp;Q$61,VPA.Director!$D:$D,"&lt;"&amp;0)+sumifs(ADC.Director!$D:$D,ADC.Director!$B:$B,$D69,ADC.Director!$A:$A,"&gt;="&amp;Q$60,ADC.Director!$A:$A,"&lt;="&amp;Q$61,ADC.Director!$D:$D,"&lt;"&amp;0)+sumifs('000'!$D:$D,'000'!$B:$B,$D69,'000'!$A:$A,"&gt;="&amp;Q$60,'000'!$A:$A,"&lt;="&amp;Q$61,'000'!$D:$D,"&lt;"&amp;0)+sumifs('500'!$D:$D,'500'!$B:$B,$D69,'500'!$A:$A,"&gt;="&amp;Q$60,'500'!$A:$A,"&lt;="&amp;Q$61,'500'!$D:$D,"&lt;"&amp;0)+sumifs('300'!$D:$D,'300'!$B:$B,$D69,'300'!$A:$A,"&gt;="&amp;Q$60,'300'!$A:$A,"&lt;="&amp;Q$61,'300'!$D:$D,"&lt;"&amp;0)+sumifs('600.VPA'!$D:$D,'600.VPA'!$B:$B,$D69,'600.VPA'!$A:$A,"&gt;="&amp;Q$60,'600.VPA'!$A:$A,"&lt;="&amp;Q$61,'600.VPA'!$D:$D,"&lt;"&amp;0)</f>
        <v>0</v>
      </c>
      <c r="R69" s="149">
        <f>sumifs(Boss!$D:$D,Boss!$B:$B,$D69,Boss!$A:$A,"&gt;="&amp;R$60,Boss!$A:$A,"&lt;="&amp;R$61,Boss!$D:$D,"&gt;"&amp;0)+sumifs(VPA.Director!$D:$D,VPA.Director!$B:$B,$D69,VPA.Director!$A:$A,"&gt;="&amp;R$60,VPA.Director!$A:$A,"&lt;="&amp;R$61,VPA.Director!$D:$D,"&gt;"&amp;0)+sumifs(ADC.Director!$D:$D,ADC.Director!$B:$B,$D69,ADC.Director!$A:$A,"&gt;="&amp;R$60,ADC.Director!$A:$A,"&lt;="&amp;R$61,ADC.Director!$D:$D,"&gt;"&amp;0)+sumifs('000'!$D:$D,'000'!$B:$B,$D69,'000'!$A:$A,"&gt;="&amp;R$60,'000'!$A:$A,"&lt;="&amp;R$61,'000'!$D:$D,"&gt;"&amp;0)+sumifs('500'!$D:$D,'500'!$B:$B,$D69,'500'!$A:$A,"&gt;="&amp;R$60,'500'!$A:$A,"&lt;="&amp;R$60,'500'!$D:$D,"&gt;"&amp;0)+sumifs('300'!$D:$D,'300'!$B:$B,$D69,'300'!$A:$A,"&gt;="&amp;R$60,'300'!$A:$A,"&lt;="&amp;R$61,'300'!$D:$D,"&gt;"&amp;0)+sumifs('600.VPA'!$D:$D,'600.VPA'!$B:$B,$D69,'600.VPA'!$A:$A,"&gt;="&amp;R$60,'600.VPA'!$A:$A,"&lt;="&amp;R$61,'600.VPA'!$D:$D,"&gt;"&amp;0)</f>
        <v>0</v>
      </c>
      <c r="S69" s="148">
        <f>sumifs(Boss!$D:$D,Boss!$B:$B,$D69,Boss!$A:$A,"&gt;="&amp;S$60,Boss!$A:$A,"&lt;="&amp;S$61,Boss!$D:$D,"&lt;"&amp;0)+sumifs(VPA.Director!$D:$D,VPA.Director!$B:$B,$D69,VPA.Director!$A:$A,"&gt;="&amp;S$60,VPA.Director!$A:$A,"&lt;="&amp;S$61,VPA.Director!$D:$D,"&lt;"&amp;0)+sumifs(ADC.Director!$D:$D,ADC.Director!$B:$B,$D69,ADC.Director!$A:$A,"&gt;="&amp;S$60,ADC.Director!$A:$A,"&lt;="&amp;S$61,ADC.Director!$D:$D,"&lt;"&amp;0)+sumifs('000'!$D:$D,'000'!$B:$B,$D69,'000'!$A:$A,"&gt;="&amp;S$60,'000'!$A:$A,"&lt;="&amp;S$61,'000'!$D:$D,"&lt;"&amp;0)+sumifs('500'!$D:$D,'500'!$B:$B,$D69,'500'!$A:$A,"&gt;="&amp;S$60,'500'!$A:$A,"&lt;="&amp;S$61,'500'!$D:$D,"&lt;"&amp;0)+sumifs('300'!$D:$D,'300'!$B:$B,$D69,'300'!$A:$A,"&gt;="&amp;S$60,'300'!$A:$A,"&lt;="&amp;S$61,'300'!$D:$D,"&lt;"&amp;0)+sumifs('600.VPA'!$D:$D,'600.VPA'!$B:$B,$D69,'600.VPA'!$A:$A,"&gt;="&amp;S$60,'600.VPA'!$A:$A,"&lt;="&amp;S$61,'600.VPA'!$D:$D,"&lt;"&amp;0)</f>
        <v>0</v>
      </c>
      <c r="T69" s="149">
        <f>sumifs(Boss!$D:$D,Boss!$B:$B,$D69,Boss!$A:$A,"&gt;="&amp;T$60,Boss!$A:$A,"&lt;="&amp;T$61,Boss!$D:$D,"&gt;"&amp;0)+sumifs(VPA.Director!$D:$D,VPA.Director!$B:$B,$D69,VPA.Director!$A:$A,"&gt;="&amp;T$60,VPA.Director!$A:$A,"&lt;="&amp;T$61,VPA.Director!$D:$D,"&gt;"&amp;0)+sumifs(ADC.Director!$D:$D,ADC.Director!$B:$B,$D69,ADC.Director!$A:$A,"&gt;="&amp;T$60,ADC.Director!$A:$A,"&lt;="&amp;T$61,ADC.Director!$D:$D,"&gt;"&amp;0)+sumifs('000'!$D:$D,'000'!$B:$B,$D69,'000'!$A:$A,"&gt;="&amp;T$60,'000'!$A:$A,"&lt;="&amp;T$61,'000'!$D:$D,"&gt;"&amp;0)+sumifs('500'!$D:$D,'500'!$B:$B,$D69,'500'!$A:$A,"&gt;="&amp;T$60,'500'!$A:$A,"&lt;="&amp;T$60,'500'!$D:$D,"&gt;"&amp;0)+sumifs('300'!$D:$D,'300'!$B:$B,$D69,'300'!$A:$A,"&gt;="&amp;T$60,'300'!$A:$A,"&lt;="&amp;T$61,'300'!$D:$D,"&gt;"&amp;0)+sumifs('600.VPA'!$D:$D,'600.VPA'!$B:$B,$D69,'600.VPA'!$A:$A,"&gt;="&amp;T$60,'600.VPA'!$A:$A,"&lt;="&amp;T$61,'600.VPA'!$D:$D,"&gt;"&amp;0)</f>
        <v>0</v>
      </c>
      <c r="U69" s="144"/>
      <c r="V69" s="148">
        <f>sumifs(Boss!$D:$D,Boss!$B:$B,$D69,Boss!$A:$A,"&gt;="&amp;V$60,Boss!$A:$A,"&lt;="&amp;V$61,Boss!$D:$D,"&lt;"&amp;0)+sumifs(VPA.Director!$D:$D,VPA.Director!$B:$B,$D69,VPA.Director!$A:$A,"&gt;="&amp;V$60,VPA.Director!$A:$A,"&lt;="&amp;V$61,VPA.Director!$D:$D,"&lt;"&amp;0)+sumifs(ADC.Director!$D:$D,ADC.Director!$B:$B,$D69,ADC.Director!$A:$A,"&gt;="&amp;V$60,ADC.Director!$A:$A,"&lt;="&amp;V$61,ADC.Director!$D:$D,"&lt;"&amp;0)+sumifs('000'!$D:$D,'000'!$B:$B,$D69,'000'!$A:$A,"&gt;="&amp;V$60,'000'!$A:$A,"&lt;="&amp;V$61,'000'!$D:$D,"&lt;"&amp;0)+sumifs('500'!$D:$D,'500'!$B:$B,$D69,'500'!$A:$A,"&gt;="&amp;V$60,'500'!$A:$A,"&lt;="&amp;V$61,'500'!$D:$D,"&lt;"&amp;0)+sumifs('300'!$D:$D,'300'!$B:$B,$D69,'300'!$A:$A,"&gt;="&amp;V$60,'300'!$A:$A,"&lt;="&amp;V$61,'300'!$D:$D,"&lt;"&amp;0)+sumifs('600.VPA'!$D:$D,'600.VPA'!$B:$B,$D69,'600.VPA'!$A:$A,"&gt;="&amp;V$60,'600.VPA'!$A:$A,"&lt;="&amp;V$61,'600.VPA'!$D:$D,"&lt;"&amp;0)</f>
        <v>0</v>
      </c>
      <c r="W69" s="149">
        <f>sumifs(Boss!$D:$D,Boss!$B:$B,$D69,Boss!$A:$A,"&gt;="&amp;W$60,Boss!$A:$A,"&lt;="&amp;W$61,Boss!$D:$D,"&gt;"&amp;0)+sumifs(VPA.Director!$D:$D,VPA.Director!$B:$B,$D69,VPA.Director!$A:$A,"&gt;="&amp;W$60,VPA.Director!$A:$A,"&lt;="&amp;W$61,VPA.Director!$D:$D,"&gt;"&amp;0)+sumifs(ADC.Director!$D:$D,ADC.Director!$B:$B,$D69,ADC.Director!$A:$A,"&gt;="&amp;W$60,ADC.Director!$A:$A,"&lt;="&amp;W$61,ADC.Director!$D:$D,"&gt;"&amp;0)+sumifs('000'!$D:$D,'000'!$B:$B,$D69,'000'!$A:$A,"&gt;="&amp;W$60,'000'!$A:$A,"&lt;="&amp;W$61,'000'!$D:$D,"&gt;"&amp;0)+sumifs('500'!$D:$D,'500'!$B:$B,$D69,'500'!$A:$A,"&gt;="&amp;W$60,'500'!$A:$A,"&lt;="&amp;W$60,'500'!$D:$D,"&gt;"&amp;0)+sumifs('300'!$D:$D,'300'!$B:$B,$D69,'300'!$A:$A,"&gt;="&amp;W$60,'300'!$A:$A,"&lt;="&amp;W$61,'300'!$D:$D,"&gt;"&amp;0)+sumifs('600.VPA'!$D:$D,'600.VPA'!$B:$B,$D69,'600.VPA'!$A:$A,"&gt;="&amp;W$60,'600.VPA'!$A:$A,"&lt;="&amp;W$61,'600.VPA'!$D:$D,"&gt;"&amp;0)</f>
        <v>0</v>
      </c>
      <c r="X69" s="148">
        <f>sumifs(Boss!$D:$D,Boss!$B:$B,$D69,Boss!$A:$A,"&gt;="&amp;X$60,Boss!$A:$A,"&lt;="&amp;X$61,Boss!$D:$D,"&lt;"&amp;0)+sumifs(VPA.Director!$D:$D,VPA.Director!$B:$B,$D69,VPA.Director!$A:$A,"&gt;="&amp;X$60,VPA.Director!$A:$A,"&lt;="&amp;X$61,VPA.Director!$D:$D,"&lt;"&amp;0)+sumifs(ADC.Director!$D:$D,ADC.Director!$B:$B,$D69,ADC.Director!$A:$A,"&gt;="&amp;X$60,ADC.Director!$A:$A,"&lt;="&amp;X$61,ADC.Director!$D:$D,"&lt;"&amp;0)+sumifs('000'!$D:$D,'000'!$B:$B,$D69,'000'!$A:$A,"&gt;="&amp;X$60,'000'!$A:$A,"&lt;="&amp;X$61,'000'!$D:$D,"&lt;"&amp;0)+sumifs('500'!$D:$D,'500'!$B:$B,$D69,'500'!$A:$A,"&gt;="&amp;X$60,'500'!$A:$A,"&lt;="&amp;X$61,'500'!$D:$D,"&lt;"&amp;0)+sumifs('300'!$D:$D,'300'!$B:$B,$D69,'300'!$A:$A,"&gt;="&amp;X$60,'300'!$A:$A,"&lt;="&amp;X$61,'300'!$D:$D,"&lt;"&amp;0)+sumifs('600.VPA'!$D:$D,'600.VPA'!$B:$B,$D69,'600.VPA'!$A:$A,"&gt;="&amp;X$60,'600.VPA'!$A:$A,"&lt;="&amp;X$61,'600.VPA'!$D:$D,"&lt;"&amp;0)</f>
        <v>0</v>
      </c>
      <c r="Y69" s="149">
        <f>sumifs(Boss!$D:$D,Boss!$B:$B,$D69,Boss!$A:$A,"&gt;="&amp;Y$60,Boss!$A:$A,"&lt;="&amp;Y$61,Boss!$D:$D,"&gt;"&amp;0)+sumifs(VPA.Director!$D:$D,VPA.Director!$B:$B,$D69,VPA.Director!$A:$A,"&gt;="&amp;Y$60,VPA.Director!$A:$A,"&lt;="&amp;Y$61,VPA.Director!$D:$D,"&gt;"&amp;0)+sumifs(ADC.Director!$D:$D,ADC.Director!$B:$B,$D69,ADC.Director!$A:$A,"&gt;="&amp;Y$60,ADC.Director!$A:$A,"&lt;="&amp;Y$61,ADC.Director!$D:$D,"&gt;"&amp;0)+sumifs('000'!$D:$D,'000'!$B:$B,$D69,'000'!$A:$A,"&gt;="&amp;Y$60,'000'!$A:$A,"&lt;="&amp;Y$61,'000'!$D:$D,"&gt;"&amp;0)+sumifs('500'!$D:$D,'500'!$B:$B,$D69,'500'!$A:$A,"&gt;="&amp;Y$60,'500'!$A:$A,"&lt;="&amp;Y$60,'500'!$D:$D,"&gt;"&amp;0)+sumifs('300'!$D:$D,'300'!$B:$B,$D69,'300'!$A:$A,"&gt;="&amp;Y$60,'300'!$A:$A,"&lt;="&amp;Y$61,'300'!$D:$D,"&gt;"&amp;0)+sumifs('600.VPA'!$D:$D,'600.VPA'!$B:$B,$D69,'600.VPA'!$A:$A,"&gt;="&amp;Y$60,'600.VPA'!$A:$A,"&lt;="&amp;Y$61,'600.VPA'!$D:$D,"&gt;"&amp;0)</f>
        <v>0</v>
      </c>
      <c r="Z69" s="148">
        <f>sumifs(Boss!$D:$D,Boss!$B:$B,$D69,Boss!$A:$A,"&gt;="&amp;Z$60,Boss!$A:$A,"&lt;="&amp;Z$61,Boss!$D:$D,"&lt;"&amp;0)+sumifs(VPA.Director!$D:$D,VPA.Director!$B:$B,$D69,VPA.Director!$A:$A,"&gt;="&amp;Z$60,VPA.Director!$A:$A,"&lt;="&amp;Z$61,VPA.Director!$D:$D,"&lt;"&amp;0)+sumifs(ADC.Director!$D:$D,ADC.Director!$B:$B,$D69,ADC.Director!$A:$A,"&gt;="&amp;Z$60,ADC.Director!$A:$A,"&lt;="&amp;Z$61,ADC.Director!$D:$D,"&lt;"&amp;0)+sumifs('000'!$D:$D,'000'!$B:$B,$D69,'000'!$A:$A,"&gt;="&amp;Z$60,'000'!$A:$A,"&lt;="&amp;Z$61,'000'!$D:$D,"&lt;"&amp;0)+sumifs('500'!$D:$D,'500'!$B:$B,$D69,'500'!$A:$A,"&gt;="&amp;Z$60,'500'!$A:$A,"&lt;="&amp;Z$61,'500'!$D:$D,"&lt;"&amp;0)+sumifs('300'!$D:$D,'300'!$B:$B,$D69,'300'!$A:$A,"&gt;="&amp;Z$60,'300'!$A:$A,"&lt;="&amp;Z$61,'300'!$D:$D,"&lt;"&amp;0)+sumifs('600.VPA'!$D:$D,'600.VPA'!$B:$B,$D69,'600.VPA'!$A:$A,"&gt;="&amp;Z$60,'600.VPA'!$A:$A,"&lt;="&amp;Z$61,'600.VPA'!$D:$D,"&lt;"&amp;0)</f>
        <v>0</v>
      </c>
      <c r="AA69" s="149">
        <f>sumifs(Boss!$D:$D,Boss!$B:$B,$D69,Boss!$A:$A,"&gt;="&amp;AA$60,Boss!$A:$A,"&lt;="&amp;AA$61,Boss!$D:$D,"&gt;"&amp;0)+sumifs(VPA.Director!$D:$D,VPA.Director!$B:$B,$D69,VPA.Director!$A:$A,"&gt;="&amp;AA$60,VPA.Director!$A:$A,"&lt;="&amp;AA$61,VPA.Director!$D:$D,"&gt;"&amp;0)+sumifs(ADC.Director!$D:$D,ADC.Director!$B:$B,$D69,ADC.Director!$A:$A,"&gt;="&amp;AA$60,ADC.Director!$A:$A,"&lt;="&amp;AA$61,ADC.Director!$D:$D,"&gt;"&amp;0)+sumifs('000'!$D:$D,'000'!$B:$B,$D69,'000'!$A:$A,"&gt;="&amp;AA$60,'000'!$A:$A,"&lt;="&amp;AA$61,'000'!$D:$D,"&gt;"&amp;0)+sumifs('500'!$D:$D,'500'!$B:$B,$D69,'500'!$A:$A,"&gt;="&amp;AA$60,'500'!$A:$A,"&lt;="&amp;AA$60,'500'!$D:$D,"&gt;"&amp;0)+sumifs('300'!$D:$D,'300'!$B:$B,$D69,'300'!$A:$A,"&gt;="&amp;AA$60,'300'!$A:$A,"&lt;="&amp;AA$61,'300'!$D:$D,"&gt;"&amp;0)+sumifs('600.VPA'!$D:$D,'600.VPA'!$B:$B,$D69,'600.VPA'!$A:$A,"&gt;="&amp;AA$60,'600.VPA'!$A:$A,"&lt;="&amp;AA$61,'600.VPA'!$D:$D,"&gt;"&amp;0)</f>
        <v>0</v>
      </c>
      <c r="AB69" s="148">
        <f>sumifs(Boss!$D:$D,Boss!$B:$B,$D69,Boss!$A:$A,"&gt;="&amp;AB$60,Boss!$A:$A,"&lt;="&amp;AB$61,Boss!$D:$D,"&lt;"&amp;0)+sumifs(VPA.Director!$D:$D,VPA.Director!$B:$B,$D69,VPA.Director!$A:$A,"&gt;="&amp;AB$60,VPA.Director!$A:$A,"&lt;="&amp;AB$61,VPA.Director!$D:$D,"&lt;"&amp;0)+sumifs(ADC.Director!$D:$D,ADC.Director!$B:$B,$D69,ADC.Director!$A:$A,"&gt;="&amp;AB$60,ADC.Director!$A:$A,"&lt;="&amp;AB$61,ADC.Director!$D:$D,"&lt;"&amp;0)+sumifs('000'!$D:$D,'000'!$B:$B,$D69,'000'!$A:$A,"&gt;="&amp;AB$60,'000'!$A:$A,"&lt;="&amp;AB$61,'000'!$D:$D,"&lt;"&amp;0)+sumifs('500'!$D:$D,'500'!$B:$B,$D69,'500'!$A:$A,"&gt;="&amp;AB$60,'500'!$A:$A,"&lt;="&amp;AB$61,'500'!$D:$D,"&lt;"&amp;0)+sumifs('300'!$D:$D,'300'!$B:$B,$D69,'300'!$A:$A,"&gt;="&amp;AB$60,'300'!$A:$A,"&lt;="&amp;AB$61,'300'!$D:$D,"&lt;"&amp;0)+sumifs('600.VPA'!$D:$D,'600.VPA'!$B:$B,$D69,'600.VPA'!$A:$A,"&gt;="&amp;AB$60,'600.VPA'!$A:$A,"&lt;="&amp;AB$61,'600.VPA'!$D:$D,"&lt;"&amp;0)</f>
        <v>0</v>
      </c>
      <c r="AC69" s="149">
        <f>sumifs(Boss!$D:$D,Boss!$B:$B,$D69,Boss!$A:$A,"&gt;="&amp;AC$60,Boss!$A:$A,"&lt;="&amp;AC$61,Boss!$D:$D,"&gt;"&amp;0)+sumifs(VPA.Director!$D:$D,VPA.Director!$B:$B,$D69,VPA.Director!$A:$A,"&gt;="&amp;AC$60,VPA.Director!$A:$A,"&lt;="&amp;AC$61,VPA.Director!$D:$D,"&gt;"&amp;0)+sumifs(ADC.Director!$D:$D,ADC.Director!$B:$B,$D69,ADC.Director!$A:$A,"&gt;="&amp;AC$60,ADC.Director!$A:$A,"&lt;="&amp;AC$61,ADC.Director!$D:$D,"&gt;"&amp;0)+sumifs('000'!$D:$D,'000'!$B:$B,$D69,'000'!$A:$A,"&gt;="&amp;AC$60,'000'!$A:$A,"&lt;="&amp;AC$61,'000'!$D:$D,"&gt;"&amp;0)+sumifs('500'!$D:$D,'500'!$B:$B,$D69,'500'!$A:$A,"&gt;="&amp;AC$60,'500'!$A:$A,"&lt;="&amp;AC$60,'500'!$D:$D,"&gt;"&amp;0)+sumifs('300'!$D:$D,'300'!$B:$B,$D69,'300'!$A:$A,"&gt;="&amp;AC$60,'300'!$A:$A,"&lt;="&amp;AC$61,'300'!$D:$D,"&gt;"&amp;0)+sumifs('600.VPA'!$D:$D,'600.VPA'!$B:$B,$D69,'600.VPA'!$A:$A,"&gt;="&amp;AC$60,'600.VPA'!$A:$A,"&lt;="&amp;AC$61,'600.VPA'!$D:$D,"&gt;"&amp;0)</f>
        <v>0</v>
      </c>
      <c r="AD69" s="148">
        <f>sumifs(Boss!$D:$D,Boss!$B:$B,$D69,Boss!$A:$A,"&gt;="&amp;AD$60,Boss!$A:$A,"&lt;="&amp;AD$61,Boss!$D:$D,"&lt;"&amp;0)+sumifs(VPA.Director!$D:$D,VPA.Director!$B:$B,$D69,VPA.Director!$A:$A,"&gt;="&amp;AD$60,VPA.Director!$A:$A,"&lt;="&amp;AD$61,VPA.Director!$D:$D,"&lt;"&amp;0)+sumifs(ADC.Director!$D:$D,ADC.Director!$B:$B,$D69,ADC.Director!$A:$A,"&gt;="&amp;AD$60,ADC.Director!$A:$A,"&lt;="&amp;AD$61,ADC.Director!$D:$D,"&lt;"&amp;0)+sumifs('000'!$D:$D,'000'!$B:$B,$D69,'000'!$A:$A,"&gt;="&amp;AD$60,'000'!$A:$A,"&lt;="&amp;AD$61,'000'!$D:$D,"&lt;"&amp;0)+sumifs('500'!$D:$D,'500'!$B:$B,$D69,'500'!$A:$A,"&gt;="&amp;AD$60,'500'!$A:$A,"&lt;="&amp;AD$61,'500'!$D:$D,"&lt;"&amp;0)+sumifs('300'!$D:$D,'300'!$B:$B,$D69,'300'!$A:$A,"&gt;="&amp;AD$60,'300'!$A:$A,"&lt;="&amp;AD$61,'300'!$D:$D,"&lt;"&amp;0)+sumifs('600.VPA'!$D:$D,'600.VPA'!$B:$B,$D69,'600.VPA'!$A:$A,"&gt;="&amp;AD$60,'600.VPA'!$A:$A,"&lt;="&amp;AD$61,'600.VPA'!$D:$D,"&lt;"&amp;0)</f>
        <v>0</v>
      </c>
      <c r="AE69" s="149">
        <f>sumifs(Boss!$D:$D,Boss!$B:$B,$D69,Boss!$A:$A,"&gt;="&amp;AE$60,Boss!$A:$A,"&lt;="&amp;AE$61,Boss!$D:$D,"&gt;"&amp;0)+sumifs(VPA.Director!$D:$D,VPA.Director!$B:$B,$D69,VPA.Director!$A:$A,"&gt;="&amp;AE$60,VPA.Director!$A:$A,"&lt;="&amp;AE$61,VPA.Director!$D:$D,"&gt;"&amp;0)+sumifs(ADC.Director!$D:$D,ADC.Director!$B:$B,$D69,ADC.Director!$A:$A,"&gt;="&amp;AE$60,ADC.Director!$A:$A,"&lt;="&amp;AE$61,ADC.Director!$D:$D,"&gt;"&amp;0)+sumifs('000'!$D:$D,'000'!$B:$B,$D69,'000'!$A:$A,"&gt;="&amp;AE$60,'000'!$A:$A,"&lt;="&amp;AE$61,'000'!$D:$D,"&gt;"&amp;0)+sumifs('500'!$D:$D,'500'!$B:$B,$D69,'500'!$A:$A,"&gt;="&amp;AE$60,'500'!$A:$A,"&lt;="&amp;AE$60,'500'!$D:$D,"&gt;"&amp;0)+sumifs('300'!$D:$D,'300'!$B:$B,$D69,'300'!$A:$A,"&gt;="&amp;AE$60,'300'!$A:$A,"&lt;="&amp;AE$61,'300'!$D:$D,"&gt;"&amp;0)+sumifs('600.VPA'!$D:$D,'600.VPA'!$B:$B,$D69,'600.VPA'!$A:$A,"&gt;="&amp;AE$60,'600.VPA'!$A:$A,"&lt;="&amp;AE$61,'600.VPA'!$D:$D,"&gt;"&amp;0)</f>
        <v>0</v>
      </c>
      <c r="AF69" s="148">
        <f>sumifs(Boss!$D:$D,Boss!$B:$B,$D69,Boss!$A:$A,"&gt;="&amp;AF$60,Boss!$A:$A,"&lt;="&amp;AF$61,Boss!$D:$D,"&lt;"&amp;0)+sumifs(VPA.Director!$D:$D,VPA.Director!$B:$B,$D69,VPA.Director!$A:$A,"&gt;="&amp;AF$60,VPA.Director!$A:$A,"&lt;="&amp;AF$61,VPA.Director!$D:$D,"&lt;"&amp;0)+sumifs(ADC.Director!$D:$D,ADC.Director!$B:$B,$D69,ADC.Director!$A:$A,"&gt;="&amp;AF$60,ADC.Director!$A:$A,"&lt;="&amp;AF$61,ADC.Director!$D:$D,"&lt;"&amp;0)+sumifs('000'!$D:$D,'000'!$B:$B,$D69,'000'!$A:$A,"&gt;="&amp;AF$60,'000'!$A:$A,"&lt;="&amp;AF$61,'000'!$D:$D,"&lt;"&amp;0)+sumifs('500'!$D:$D,'500'!$B:$B,$D69,'500'!$A:$A,"&gt;="&amp;AF$60,'500'!$A:$A,"&lt;="&amp;AF$61,'500'!$D:$D,"&lt;"&amp;0)+sumifs('300'!$D:$D,'300'!$B:$B,$D69,'300'!$A:$A,"&gt;="&amp;AF$60,'300'!$A:$A,"&lt;="&amp;AF$61,'300'!$D:$D,"&lt;"&amp;0)+sumifs('600.VPA'!$D:$D,'600.VPA'!$B:$B,$D69,'600.VPA'!$A:$A,"&gt;="&amp;AF$60,'600.VPA'!$A:$A,"&lt;="&amp;AF$61,'600.VPA'!$D:$D,"&lt;"&amp;0)</f>
        <v>0</v>
      </c>
      <c r="AG69" s="149">
        <f>sumifs(Boss!$D:$D,Boss!$B:$B,$D69,Boss!$A:$A,"&gt;="&amp;AG$60,Boss!$A:$A,"&lt;="&amp;AG$61,Boss!$D:$D,"&gt;"&amp;0)+sumifs(VPA.Director!$D:$D,VPA.Director!$B:$B,$D69,VPA.Director!$A:$A,"&gt;="&amp;AG$60,VPA.Director!$A:$A,"&lt;="&amp;AG$61,VPA.Director!$D:$D,"&gt;"&amp;0)+sumifs(ADC.Director!$D:$D,ADC.Director!$B:$B,$D69,ADC.Director!$A:$A,"&gt;="&amp;AG$60,ADC.Director!$A:$A,"&lt;="&amp;AG$61,ADC.Director!$D:$D,"&gt;"&amp;0)+sumifs('000'!$D:$D,'000'!$B:$B,$D69,'000'!$A:$A,"&gt;="&amp;AG$60,'000'!$A:$A,"&lt;="&amp;AG$61,'000'!$D:$D,"&gt;"&amp;0)+sumifs('500'!$D:$D,'500'!$B:$B,$D69,'500'!$A:$A,"&gt;="&amp;AG$60,'500'!$A:$A,"&lt;="&amp;AG$60,'500'!$D:$D,"&gt;"&amp;0)+sumifs('300'!$D:$D,'300'!$B:$B,$D69,'300'!$A:$A,"&gt;="&amp;AG$60,'300'!$A:$A,"&lt;="&amp;AG$61,'300'!$D:$D,"&gt;"&amp;0)+sumifs('600.VPA'!$D:$D,'600.VPA'!$B:$B,$D69,'600.VPA'!$A:$A,"&gt;="&amp;AG$60,'600.VPA'!$A:$A,"&lt;="&amp;AG$61,'600.VPA'!$D:$D,"&gt;"&amp;0)</f>
        <v>0</v>
      </c>
      <c r="AH69" s="150">
        <f t="shared" ref="AH69:AI69" si="8">sum(I69,K69,M69,O69,Q69,S69,V69,X69,Z69,AB69,AD69,AF69)</f>
        <v>0</v>
      </c>
      <c r="AI69" s="151">
        <f t="shared" si="8"/>
        <v>0</v>
      </c>
      <c r="AJ69" s="150">
        <f t="shared" si="4"/>
        <v>0</v>
      </c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</row>
    <row r="70">
      <c r="A70" s="86"/>
      <c r="B70" s="144"/>
      <c r="D70" s="146" t="s">
        <v>59</v>
      </c>
      <c r="E70" s="147" t="s">
        <v>10</v>
      </c>
      <c r="F70" s="146" t="s">
        <v>141</v>
      </c>
      <c r="G70" s="146" t="s">
        <v>142</v>
      </c>
      <c r="H70" s="146" t="s">
        <v>42</v>
      </c>
      <c r="I70" s="148">
        <f>sumifs(Boss!$D:$D,Boss!$B:$B,$D70,Boss!$A:$A,"&gt;="&amp;I$60,Boss!$A:$A,"&lt;="&amp;I$61,Boss!$D:$D,"&lt;"&amp;0)+sumifs(VPA.Director!$D:$D,VPA.Director!$B:$B,$D70,VPA.Director!$A:$A,"&gt;="&amp;I$60,VPA.Director!$A:$A,"&lt;="&amp;I$61,VPA.Director!$D:$D,"&lt;"&amp;0)+sumifs(ADC.Director!$D:$D,ADC.Director!$B:$B,$D70,ADC.Director!$A:$A,"&gt;="&amp;I$60,ADC.Director!$A:$A,"&lt;="&amp;I$61,ADC.Director!$D:$D,"&lt;"&amp;0)+sumifs('000'!$D:$D,'000'!$B:$B,$D70,'000'!$A:$A,"&gt;="&amp;I$60,'000'!$A:$A,"&lt;="&amp;I$61,'000'!$D:$D,"&lt;"&amp;0)+sumifs('500'!$D:$D,'500'!$B:$B,$D70,'500'!$A:$A,"&gt;="&amp;I$60,'500'!$A:$A,"&lt;="&amp;I$61,'500'!$D:$D,"&lt;"&amp;0)+sumifs('300'!$D:$D,'300'!$B:$B,$D70,'300'!$A:$A,"&gt;="&amp;I$60,'300'!$A:$A,"&lt;="&amp;I$61,'300'!$D:$D,"&lt;"&amp;0)+sumifs('600.VPA'!$D:$D,'600.VPA'!$B:$B,$D70,'600.VPA'!$A:$A,"&gt;="&amp;I$60,'600.VPA'!$A:$A,"&lt;="&amp;I$61,'600.VPA'!$D:$D,"&lt;"&amp;0)</f>
        <v>0</v>
      </c>
      <c r="J70" s="149">
        <f>sumifs(Boss!$D:$D,Boss!$B:$B,$D70,Boss!$A:$A,"&gt;="&amp;J$60,Boss!$A:$A,"&lt;="&amp;J$61,Boss!$D:$D,"&gt;"&amp;0)+sumifs(VPA.Director!$D:$D,VPA.Director!$B:$B,$D70,VPA.Director!$A:$A,"&gt;="&amp;J$60,VPA.Director!$A:$A,"&lt;="&amp;J$61,VPA.Director!$D:$D,"&gt;"&amp;0)+sumifs(ADC.Director!$D:$D,ADC.Director!$B:$B,$D70,ADC.Director!$A:$A,"&gt;="&amp;J$60,ADC.Director!$A:$A,"&lt;="&amp;J$61,ADC.Director!$D:$D,"&gt;"&amp;0)+sumifs('000'!$D:$D,'000'!$B:$B,$D70,'000'!$A:$A,"&gt;="&amp;J$60,'000'!$A:$A,"&lt;="&amp;J$61,'000'!$D:$D,"&gt;"&amp;0)+sumifs('500'!$D:$D,'500'!$B:$B,$D70,'500'!$A:$A,"&gt;="&amp;J$60,'500'!$A:$A,"&lt;="&amp;J$60,'500'!$D:$D,"&gt;"&amp;0)+sumifs('300'!$D:$D,'300'!$B:$B,$D70,'300'!$A:$A,"&gt;="&amp;J$60,'300'!$A:$A,"&lt;="&amp;J$61,'300'!$D:$D,"&gt;"&amp;0)+sumifs('600.VPA'!$D:$D,'600.VPA'!$B:$B,$D70,'600.VPA'!$A:$A,"&gt;="&amp;J$60,'600.VPA'!$A:$A,"&lt;="&amp;J$61,'600.VPA'!$D:$D,"&gt;"&amp;0)</f>
        <v>0</v>
      </c>
      <c r="K70" s="148">
        <f>sumifs(Boss!$D:$D,Boss!$B:$B,$D70,Boss!$A:$A,"&gt;="&amp;K$60,Boss!$A:$A,"&lt;="&amp;K$61,Boss!$D:$D,"&lt;"&amp;0)+sumifs(VPA.Director!$D:$D,VPA.Director!$B:$B,$D70,VPA.Director!$A:$A,"&gt;="&amp;K$60,VPA.Director!$A:$A,"&lt;="&amp;K$61,VPA.Director!$D:$D,"&lt;"&amp;0)+sumifs(ADC.Director!$D:$D,ADC.Director!$B:$B,$D70,ADC.Director!$A:$A,"&gt;="&amp;K$60,ADC.Director!$A:$A,"&lt;="&amp;K$61,ADC.Director!$D:$D,"&lt;"&amp;0)+sumifs('000'!$D:$D,'000'!$B:$B,$D70,'000'!$A:$A,"&gt;="&amp;K$60,'000'!$A:$A,"&lt;="&amp;K$61,'000'!$D:$D,"&lt;"&amp;0)+sumifs('500'!$D:$D,'500'!$B:$B,$D70,'500'!$A:$A,"&gt;="&amp;K$60,'500'!$A:$A,"&lt;="&amp;K$61,'500'!$D:$D,"&lt;"&amp;0)+sumifs('300'!$D:$D,'300'!$B:$B,$D70,'300'!$A:$A,"&gt;="&amp;K$60,'300'!$A:$A,"&lt;="&amp;K$61,'300'!$D:$D,"&lt;"&amp;0)+sumifs('600.VPA'!$D:$D,'600.VPA'!$B:$B,$D70,'600.VPA'!$A:$A,"&gt;="&amp;K$60,'600.VPA'!$A:$A,"&lt;="&amp;K$61,'600.VPA'!$D:$D,"&lt;"&amp;0)</f>
        <v>0</v>
      </c>
      <c r="L70" s="149">
        <f>sumifs(Boss!$D:$D,Boss!$B:$B,$D70,Boss!$A:$A,"&gt;="&amp;L$60,Boss!$A:$A,"&lt;="&amp;L$61,Boss!$D:$D,"&gt;"&amp;0)+sumifs(VPA.Director!$D:$D,VPA.Director!$B:$B,$D70,VPA.Director!$A:$A,"&gt;="&amp;L$60,VPA.Director!$A:$A,"&lt;="&amp;L$61,VPA.Director!$D:$D,"&gt;"&amp;0)+sumifs(ADC.Director!$D:$D,ADC.Director!$B:$B,$D70,ADC.Director!$A:$A,"&gt;="&amp;L$60,ADC.Director!$A:$A,"&lt;="&amp;L$61,ADC.Director!$D:$D,"&gt;"&amp;0)+sumifs('000'!$D:$D,'000'!$B:$B,$D70,'000'!$A:$A,"&gt;="&amp;L$60,'000'!$A:$A,"&lt;="&amp;L$61,'000'!$D:$D,"&gt;"&amp;0)+sumifs('500'!$D:$D,'500'!$B:$B,$D70,'500'!$A:$A,"&gt;="&amp;L$60,'500'!$A:$A,"&lt;="&amp;L$60,'500'!$D:$D,"&gt;"&amp;0)+sumifs('300'!$D:$D,'300'!$B:$B,$D70,'300'!$A:$A,"&gt;="&amp;L$60,'300'!$A:$A,"&lt;="&amp;L$61,'300'!$D:$D,"&gt;"&amp;0)+sumifs('600.VPA'!$D:$D,'600.VPA'!$B:$B,$D70,'600.VPA'!$A:$A,"&gt;="&amp;L$60,'600.VPA'!$A:$A,"&lt;="&amp;L$61,'600.VPA'!$D:$D,"&gt;"&amp;0)</f>
        <v>0</v>
      </c>
      <c r="M70" s="148">
        <f>sumifs(Boss!$D:$D,Boss!$B:$B,$D70,Boss!$A:$A,"&gt;="&amp;M$60,Boss!$A:$A,"&lt;="&amp;M$61,Boss!$D:$D,"&lt;"&amp;0)+sumifs(VPA.Director!$D:$D,VPA.Director!$B:$B,$D70,VPA.Director!$A:$A,"&gt;="&amp;M$60,VPA.Director!$A:$A,"&lt;="&amp;M$61,VPA.Director!$D:$D,"&lt;"&amp;0)+sumifs(ADC.Director!$D:$D,ADC.Director!$B:$B,$D70,ADC.Director!$A:$A,"&gt;="&amp;M$60,ADC.Director!$A:$A,"&lt;="&amp;M$61,ADC.Director!$D:$D,"&lt;"&amp;0)+sumifs('000'!$D:$D,'000'!$B:$B,$D70,'000'!$A:$A,"&gt;="&amp;M$60,'000'!$A:$A,"&lt;="&amp;M$61,'000'!$D:$D,"&lt;"&amp;0)+sumifs('500'!$D:$D,'500'!$B:$B,$D70,'500'!$A:$A,"&gt;="&amp;M$60,'500'!$A:$A,"&lt;="&amp;M$61,'500'!$D:$D,"&lt;"&amp;0)+sumifs('300'!$D:$D,'300'!$B:$B,$D70,'300'!$A:$A,"&gt;="&amp;M$60,'300'!$A:$A,"&lt;="&amp;M$61,'300'!$D:$D,"&lt;"&amp;0)+sumifs('600.VPA'!$D:$D,'600.VPA'!$B:$B,$D70,'600.VPA'!$A:$A,"&gt;="&amp;M$60,'600.VPA'!$A:$A,"&lt;="&amp;M$61,'600.VPA'!$D:$D,"&lt;"&amp;0)</f>
        <v>0</v>
      </c>
      <c r="N70" s="149">
        <f>sumifs(Boss!$D:$D,Boss!$B:$B,$D70,Boss!$A:$A,"&gt;="&amp;N$60,Boss!$A:$A,"&lt;="&amp;N$61,Boss!$D:$D,"&gt;"&amp;0)+sumifs(VPA.Director!$D:$D,VPA.Director!$B:$B,$D70,VPA.Director!$A:$A,"&gt;="&amp;N$60,VPA.Director!$A:$A,"&lt;="&amp;N$61,VPA.Director!$D:$D,"&gt;"&amp;0)+sumifs(ADC.Director!$D:$D,ADC.Director!$B:$B,$D70,ADC.Director!$A:$A,"&gt;="&amp;N$60,ADC.Director!$A:$A,"&lt;="&amp;N$61,ADC.Director!$D:$D,"&gt;"&amp;0)+sumifs('000'!$D:$D,'000'!$B:$B,$D70,'000'!$A:$A,"&gt;="&amp;N$60,'000'!$A:$A,"&lt;="&amp;N$61,'000'!$D:$D,"&gt;"&amp;0)+sumifs('500'!$D:$D,'500'!$B:$B,$D70,'500'!$A:$A,"&gt;="&amp;N$60,'500'!$A:$A,"&lt;="&amp;N$60,'500'!$D:$D,"&gt;"&amp;0)+sumifs('300'!$D:$D,'300'!$B:$B,$D70,'300'!$A:$A,"&gt;="&amp;N$60,'300'!$A:$A,"&lt;="&amp;N$61,'300'!$D:$D,"&gt;"&amp;0)+sumifs('600.VPA'!$D:$D,'600.VPA'!$B:$B,$D70,'600.VPA'!$A:$A,"&gt;="&amp;N$60,'600.VPA'!$A:$A,"&lt;="&amp;N$61,'600.VPA'!$D:$D,"&gt;"&amp;0)</f>
        <v>0</v>
      </c>
      <c r="O70" s="148">
        <f>sumifs(Boss!$D:$D,Boss!$B:$B,$D70,Boss!$A:$A,"&gt;="&amp;O$60,Boss!$A:$A,"&lt;="&amp;O$61,Boss!$D:$D,"&lt;"&amp;0)+sumifs(VPA.Director!$D:$D,VPA.Director!$B:$B,$D70,VPA.Director!$A:$A,"&gt;="&amp;O$60,VPA.Director!$A:$A,"&lt;="&amp;O$61,VPA.Director!$D:$D,"&lt;"&amp;0)+sumifs(ADC.Director!$D:$D,ADC.Director!$B:$B,$D70,ADC.Director!$A:$A,"&gt;="&amp;O$60,ADC.Director!$A:$A,"&lt;="&amp;O$61,ADC.Director!$D:$D,"&lt;"&amp;0)+sumifs('000'!$D:$D,'000'!$B:$B,$D70,'000'!$A:$A,"&gt;="&amp;O$60,'000'!$A:$A,"&lt;="&amp;O$61,'000'!$D:$D,"&lt;"&amp;0)+sumifs('500'!$D:$D,'500'!$B:$B,$D70,'500'!$A:$A,"&gt;="&amp;O$60,'500'!$A:$A,"&lt;="&amp;O$61,'500'!$D:$D,"&lt;"&amp;0)+sumifs('300'!$D:$D,'300'!$B:$B,$D70,'300'!$A:$A,"&gt;="&amp;O$60,'300'!$A:$A,"&lt;="&amp;O$61,'300'!$D:$D,"&lt;"&amp;0)+sumifs('600.VPA'!$D:$D,'600.VPA'!$B:$B,$D70,'600.VPA'!$A:$A,"&gt;="&amp;O$60,'600.VPA'!$A:$A,"&lt;="&amp;O$61,'600.VPA'!$D:$D,"&lt;"&amp;0)</f>
        <v>0</v>
      </c>
      <c r="P70" s="149">
        <f>sumifs(Boss!$D:$D,Boss!$B:$B,$D70,Boss!$A:$A,"&gt;="&amp;P$60,Boss!$A:$A,"&lt;="&amp;P$61,Boss!$D:$D,"&gt;"&amp;0)+sumifs(VPA.Director!$D:$D,VPA.Director!$B:$B,$D70,VPA.Director!$A:$A,"&gt;="&amp;P$60,VPA.Director!$A:$A,"&lt;="&amp;P$61,VPA.Director!$D:$D,"&gt;"&amp;0)+sumifs(ADC.Director!$D:$D,ADC.Director!$B:$B,$D70,ADC.Director!$A:$A,"&gt;="&amp;P$60,ADC.Director!$A:$A,"&lt;="&amp;P$61,ADC.Director!$D:$D,"&gt;"&amp;0)+sumifs('000'!$D:$D,'000'!$B:$B,$D70,'000'!$A:$A,"&gt;="&amp;P$60,'000'!$A:$A,"&lt;="&amp;P$61,'000'!$D:$D,"&gt;"&amp;0)+sumifs('500'!$D:$D,'500'!$B:$B,$D70,'500'!$A:$A,"&gt;="&amp;P$60,'500'!$A:$A,"&lt;="&amp;P$60,'500'!$D:$D,"&gt;"&amp;0)+sumifs('300'!$D:$D,'300'!$B:$B,$D70,'300'!$A:$A,"&gt;="&amp;P$60,'300'!$A:$A,"&lt;="&amp;P$61,'300'!$D:$D,"&gt;"&amp;0)+sumifs('600.VPA'!$D:$D,'600.VPA'!$B:$B,$D70,'600.VPA'!$A:$A,"&gt;="&amp;P$60,'600.VPA'!$A:$A,"&lt;="&amp;P$61,'600.VPA'!$D:$D,"&gt;"&amp;0)</f>
        <v>0</v>
      </c>
      <c r="Q70" s="148">
        <f>sumifs(Boss!$D:$D,Boss!$B:$B,$D70,Boss!$A:$A,"&gt;="&amp;Q$60,Boss!$A:$A,"&lt;="&amp;Q$61,Boss!$D:$D,"&lt;"&amp;0)+sumifs(VPA.Director!$D:$D,VPA.Director!$B:$B,$D70,VPA.Director!$A:$A,"&gt;="&amp;Q$60,VPA.Director!$A:$A,"&lt;="&amp;Q$61,VPA.Director!$D:$D,"&lt;"&amp;0)+sumifs(ADC.Director!$D:$D,ADC.Director!$B:$B,$D70,ADC.Director!$A:$A,"&gt;="&amp;Q$60,ADC.Director!$A:$A,"&lt;="&amp;Q$61,ADC.Director!$D:$D,"&lt;"&amp;0)+sumifs('000'!$D:$D,'000'!$B:$B,$D70,'000'!$A:$A,"&gt;="&amp;Q$60,'000'!$A:$A,"&lt;="&amp;Q$61,'000'!$D:$D,"&lt;"&amp;0)+sumifs('500'!$D:$D,'500'!$B:$B,$D70,'500'!$A:$A,"&gt;="&amp;Q$60,'500'!$A:$A,"&lt;="&amp;Q$61,'500'!$D:$D,"&lt;"&amp;0)+sumifs('300'!$D:$D,'300'!$B:$B,$D70,'300'!$A:$A,"&gt;="&amp;Q$60,'300'!$A:$A,"&lt;="&amp;Q$61,'300'!$D:$D,"&lt;"&amp;0)+sumifs('600.VPA'!$D:$D,'600.VPA'!$B:$B,$D70,'600.VPA'!$A:$A,"&gt;="&amp;Q$60,'600.VPA'!$A:$A,"&lt;="&amp;Q$61,'600.VPA'!$D:$D,"&lt;"&amp;0)</f>
        <v>0</v>
      </c>
      <c r="R70" s="149">
        <f>sumifs(Boss!$D:$D,Boss!$B:$B,$D70,Boss!$A:$A,"&gt;="&amp;R$60,Boss!$A:$A,"&lt;="&amp;R$61,Boss!$D:$D,"&gt;"&amp;0)+sumifs(VPA.Director!$D:$D,VPA.Director!$B:$B,$D70,VPA.Director!$A:$A,"&gt;="&amp;R$60,VPA.Director!$A:$A,"&lt;="&amp;R$61,VPA.Director!$D:$D,"&gt;"&amp;0)+sumifs(ADC.Director!$D:$D,ADC.Director!$B:$B,$D70,ADC.Director!$A:$A,"&gt;="&amp;R$60,ADC.Director!$A:$A,"&lt;="&amp;R$61,ADC.Director!$D:$D,"&gt;"&amp;0)+sumifs('000'!$D:$D,'000'!$B:$B,$D70,'000'!$A:$A,"&gt;="&amp;R$60,'000'!$A:$A,"&lt;="&amp;R$61,'000'!$D:$D,"&gt;"&amp;0)+sumifs('500'!$D:$D,'500'!$B:$B,$D70,'500'!$A:$A,"&gt;="&amp;R$60,'500'!$A:$A,"&lt;="&amp;R$60,'500'!$D:$D,"&gt;"&amp;0)+sumifs('300'!$D:$D,'300'!$B:$B,$D70,'300'!$A:$A,"&gt;="&amp;R$60,'300'!$A:$A,"&lt;="&amp;R$61,'300'!$D:$D,"&gt;"&amp;0)+sumifs('600.VPA'!$D:$D,'600.VPA'!$B:$B,$D70,'600.VPA'!$A:$A,"&gt;="&amp;R$60,'600.VPA'!$A:$A,"&lt;="&amp;R$61,'600.VPA'!$D:$D,"&gt;"&amp;0)</f>
        <v>0</v>
      </c>
      <c r="S70" s="148">
        <f>sumifs(Boss!$D:$D,Boss!$B:$B,$D70,Boss!$A:$A,"&gt;="&amp;S$60,Boss!$A:$A,"&lt;="&amp;S$61,Boss!$D:$D,"&lt;"&amp;0)+sumifs(VPA.Director!$D:$D,VPA.Director!$B:$B,$D70,VPA.Director!$A:$A,"&gt;="&amp;S$60,VPA.Director!$A:$A,"&lt;="&amp;S$61,VPA.Director!$D:$D,"&lt;"&amp;0)+sumifs(ADC.Director!$D:$D,ADC.Director!$B:$B,$D70,ADC.Director!$A:$A,"&gt;="&amp;S$60,ADC.Director!$A:$A,"&lt;="&amp;S$61,ADC.Director!$D:$D,"&lt;"&amp;0)+sumifs('000'!$D:$D,'000'!$B:$B,$D70,'000'!$A:$A,"&gt;="&amp;S$60,'000'!$A:$A,"&lt;="&amp;S$61,'000'!$D:$D,"&lt;"&amp;0)+sumifs('500'!$D:$D,'500'!$B:$B,$D70,'500'!$A:$A,"&gt;="&amp;S$60,'500'!$A:$A,"&lt;="&amp;S$61,'500'!$D:$D,"&lt;"&amp;0)+sumifs('300'!$D:$D,'300'!$B:$B,$D70,'300'!$A:$A,"&gt;="&amp;S$60,'300'!$A:$A,"&lt;="&amp;S$61,'300'!$D:$D,"&lt;"&amp;0)+sumifs('600.VPA'!$D:$D,'600.VPA'!$B:$B,$D70,'600.VPA'!$A:$A,"&gt;="&amp;S$60,'600.VPA'!$A:$A,"&lt;="&amp;S$61,'600.VPA'!$D:$D,"&lt;"&amp;0)</f>
        <v>0</v>
      </c>
      <c r="T70" s="149">
        <f>sumifs(Boss!$D:$D,Boss!$B:$B,$D70,Boss!$A:$A,"&gt;="&amp;T$60,Boss!$A:$A,"&lt;="&amp;T$61,Boss!$D:$D,"&gt;"&amp;0)+sumifs(VPA.Director!$D:$D,VPA.Director!$B:$B,$D70,VPA.Director!$A:$A,"&gt;="&amp;T$60,VPA.Director!$A:$A,"&lt;="&amp;T$61,VPA.Director!$D:$D,"&gt;"&amp;0)+sumifs(ADC.Director!$D:$D,ADC.Director!$B:$B,$D70,ADC.Director!$A:$A,"&gt;="&amp;T$60,ADC.Director!$A:$A,"&lt;="&amp;T$61,ADC.Director!$D:$D,"&gt;"&amp;0)+sumifs('000'!$D:$D,'000'!$B:$B,$D70,'000'!$A:$A,"&gt;="&amp;T$60,'000'!$A:$A,"&lt;="&amp;T$61,'000'!$D:$D,"&gt;"&amp;0)+sumifs('500'!$D:$D,'500'!$B:$B,$D70,'500'!$A:$A,"&gt;="&amp;T$60,'500'!$A:$A,"&lt;="&amp;T$60,'500'!$D:$D,"&gt;"&amp;0)+sumifs('300'!$D:$D,'300'!$B:$B,$D70,'300'!$A:$A,"&gt;="&amp;T$60,'300'!$A:$A,"&lt;="&amp;T$61,'300'!$D:$D,"&gt;"&amp;0)+sumifs('600.VPA'!$D:$D,'600.VPA'!$B:$B,$D70,'600.VPA'!$A:$A,"&gt;="&amp;T$60,'600.VPA'!$A:$A,"&lt;="&amp;T$61,'600.VPA'!$D:$D,"&gt;"&amp;0)</f>
        <v>0</v>
      </c>
      <c r="U70" s="144"/>
      <c r="V70" s="148">
        <f>sumifs(Boss!$D:$D,Boss!$B:$B,$D70,Boss!$A:$A,"&gt;="&amp;V$60,Boss!$A:$A,"&lt;="&amp;V$61,Boss!$D:$D,"&lt;"&amp;0)+sumifs(VPA.Director!$D:$D,VPA.Director!$B:$B,$D70,VPA.Director!$A:$A,"&gt;="&amp;V$60,VPA.Director!$A:$A,"&lt;="&amp;V$61,VPA.Director!$D:$D,"&lt;"&amp;0)+sumifs(ADC.Director!$D:$D,ADC.Director!$B:$B,$D70,ADC.Director!$A:$A,"&gt;="&amp;V$60,ADC.Director!$A:$A,"&lt;="&amp;V$61,ADC.Director!$D:$D,"&lt;"&amp;0)+sumifs('000'!$D:$D,'000'!$B:$B,$D70,'000'!$A:$A,"&gt;="&amp;V$60,'000'!$A:$A,"&lt;="&amp;V$61,'000'!$D:$D,"&lt;"&amp;0)+sumifs('500'!$D:$D,'500'!$B:$B,$D70,'500'!$A:$A,"&gt;="&amp;V$60,'500'!$A:$A,"&lt;="&amp;V$61,'500'!$D:$D,"&lt;"&amp;0)+sumifs('300'!$D:$D,'300'!$B:$B,$D70,'300'!$A:$A,"&gt;="&amp;V$60,'300'!$A:$A,"&lt;="&amp;V$61,'300'!$D:$D,"&lt;"&amp;0)+sumifs('600.VPA'!$D:$D,'600.VPA'!$B:$B,$D70,'600.VPA'!$A:$A,"&gt;="&amp;V$60,'600.VPA'!$A:$A,"&lt;="&amp;V$61,'600.VPA'!$D:$D,"&lt;"&amp;0)</f>
        <v>0</v>
      </c>
      <c r="W70" s="149">
        <f>sumifs(Boss!$D:$D,Boss!$B:$B,$D70,Boss!$A:$A,"&gt;="&amp;W$60,Boss!$A:$A,"&lt;="&amp;W$61,Boss!$D:$D,"&gt;"&amp;0)+sumifs(VPA.Director!$D:$D,VPA.Director!$B:$B,$D70,VPA.Director!$A:$A,"&gt;="&amp;W$60,VPA.Director!$A:$A,"&lt;="&amp;W$61,VPA.Director!$D:$D,"&gt;"&amp;0)+sumifs(ADC.Director!$D:$D,ADC.Director!$B:$B,$D70,ADC.Director!$A:$A,"&gt;="&amp;W$60,ADC.Director!$A:$A,"&lt;="&amp;W$61,ADC.Director!$D:$D,"&gt;"&amp;0)+sumifs('000'!$D:$D,'000'!$B:$B,$D70,'000'!$A:$A,"&gt;="&amp;W$60,'000'!$A:$A,"&lt;="&amp;W$61,'000'!$D:$D,"&gt;"&amp;0)+sumifs('500'!$D:$D,'500'!$B:$B,$D70,'500'!$A:$A,"&gt;="&amp;W$60,'500'!$A:$A,"&lt;="&amp;W$60,'500'!$D:$D,"&gt;"&amp;0)+sumifs('300'!$D:$D,'300'!$B:$B,$D70,'300'!$A:$A,"&gt;="&amp;W$60,'300'!$A:$A,"&lt;="&amp;W$61,'300'!$D:$D,"&gt;"&amp;0)+sumifs('600.VPA'!$D:$D,'600.VPA'!$B:$B,$D70,'600.VPA'!$A:$A,"&gt;="&amp;W$60,'600.VPA'!$A:$A,"&lt;="&amp;W$61,'600.VPA'!$D:$D,"&gt;"&amp;0)</f>
        <v>0</v>
      </c>
      <c r="X70" s="148">
        <f>sumifs(Boss!$D:$D,Boss!$B:$B,$D70,Boss!$A:$A,"&gt;="&amp;X$60,Boss!$A:$A,"&lt;="&amp;X$61,Boss!$D:$D,"&lt;"&amp;0)+sumifs(VPA.Director!$D:$D,VPA.Director!$B:$B,$D70,VPA.Director!$A:$A,"&gt;="&amp;X$60,VPA.Director!$A:$A,"&lt;="&amp;X$61,VPA.Director!$D:$D,"&lt;"&amp;0)+sumifs(ADC.Director!$D:$D,ADC.Director!$B:$B,$D70,ADC.Director!$A:$A,"&gt;="&amp;X$60,ADC.Director!$A:$A,"&lt;="&amp;X$61,ADC.Director!$D:$D,"&lt;"&amp;0)+sumifs('000'!$D:$D,'000'!$B:$B,$D70,'000'!$A:$A,"&gt;="&amp;X$60,'000'!$A:$A,"&lt;="&amp;X$61,'000'!$D:$D,"&lt;"&amp;0)+sumifs('500'!$D:$D,'500'!$B:$B,$D70,'500'!$A:$A,"&gt;="&amp;X$60,'500'!$A:$A,"&lt;="&amp;X$61,'500'!$D:$D,"&lt;"&amp;0)+sumifs('300'!$D:$D,'300'!$B:$B,$D70,'300'!$A:$A,"&gt;="&amp;X$60,'300'!$A:$A,"&lt;="&amp;X$61,'300'!$D:$D,"&lt;"&amp;0)+sumifs('600.VPA'!$D:$D,'600.VPA'!$B:$B,$D70,'600.VPA'!$A:$A,"&gt;="&amp;X$60,'600.VPA'!$A:$A,"&lt;="&amp;X$61,'600.VPA'!$D:$D,"&lt;"&amp;0)</f>
        <v>0</v>
      </c>
      <c r="Y70" s="149">
        <f>sumifs(Boss!$D:$D,Boss!$B:$B,$D70,Boss!$A:$A,"&gt;="&amp;Y$60,Boss!$A:$A,"&lt;="&amp;Y$61,Boss!$D:$D,"&gt;"&amp;0)+sumifs(VPA.Director!$D:$D,VPA.Director!$B:$B,$D70,VPA.Director!$A:$A,"&gt;="&amp;Y$60,VPA.Director!$A:$A,"&lt;="&amp;Y$61,VPA.Director!$D:$D,"&gt;"&amp;0)+sumifs(ADC.Director!$D:$D,ADC.Director!$B:$B,$D70,ADC.Director!$A:$A,"&gt;="&amp;Y$60,ADC.Director!$A:$A,"&lt;="&amp;Y$61,ADC.Director!$D:$D,"&gt;"&amp;0)+sumifs('000'!$D:$D,'000'!$B:$B,$D70,'000'!$A:$A,"&gt;="&amp;Y$60,'000'!$A:$A,"&lt;="&amp;Y$61,'000'!$D:$D,"&gt;"&amp;0)+sumifs('500'!$D:$D,'500'!$B:$B,$D70,'500'!$A:$A,"&gt;="&amp;Y$60,'500'!$A:$A,"&lt;="&amp;Y$60,'500'!$D:$D,"&gt;"&amp;0)+sumifs('300'!$D:$D,'300'!$B:$B,$D70,'300'!$A:$A,"&gt;="&amp;Y$60,'300'!$A:$A,"&lt;="&amp;Y$61,'300'!$D:$D,"&gt;"&amp;0)+sumifs('600.VPA'!$D:$D,'600.VPA'!$B:$B,$D70,'600.VPA'!$A:$A,"&gt;="&amp;Y$60,'600.VPA'!$A:$A,"&lt;="&amp;Y$61,'600.VPA'!$D:$D,"&gt;"&amp;0)</f>
        <v>0</v>
      </c>
      <c r="Z70" s="148">
        <f>sumifs(Boss!$D:$D,Boss!$B:$B,$D70,Boss!$A:$A,"&gt;="&amp;Z$60,Boss!$A:$A,"&lt;="&amp;Z$61,Boss!$D:$D,"&lt;"&amp;0)+sumifs(VPA.Director!$D:$D,VPA.Director!$B:$B,$D70,VPA.Director!$A:$A,"&gt;="&amp;Z$60,VPA.Director!$A:$A,"&lt;="&amp;Z$61,VPA.Director!$D:$D,"&lt;"&amp;0)+sumifs(ADC.Director!$D:$D,ADC.Director!$B:$B,$D70,ADC.Director!$A:$A,"&gt;="&amp;Z$60,ADC.Director!$A:$A,"&lt;="&amp;Z$61,ADC.Director!$D:$D,"&lt;"&amp;0)+sumifs('000'!$D:$D,'000'!$B:$B,$D70,'000'!$A:$A,"&gt;="&amp;Z$60,'000'!$A:$A,"&lt;="&amp;Z$61,'000'!$D:$D,"&lt;"&amp;0)+sumifs('500'!$D:$D,'500'!$B:$B,$D70,'500'!$A:$A,"&gt;="&amp;Z$60,'500'!$A:$A,"&lt;="&amp;Z$61,'500'!$D:$D,"&lt;"&amp;0)+sumifs('300'!$D:$D,'300'!$B:$B,$D70,'300'!$A:$A,"&gt;="&amp;Z$60,'300'!$A:$A,"&lt;="&amp;Z$61,'300'!$D:$D,"&lt;"&amp;0)+sumifs('600.VPA'!$D:$D,'600.VPA'!$B:$B,$D70,'600.VPA'!$A:$A,"&gt;="&amp;Z$60,'600.VPA'!$A:$A,"&lt;="&amp;Z$61,'600.VPA'!$D:$D,"&lt;"&amp;0)</f>
        <v>0</v>
      </c>
      <c r="AA70" s="149">
        <f>sumifs(Boss!$D:$D,Boss!$B:$B,$D70,Boss!$A:$A,"&gt;="&amp;AA$60,Boss!$A:$A,"&lt;="&amp;AA$61,Boss!$D:$D,"&gt;"&amp;0)+sumifs(VPA.Director!$D:$D,VPA.Director!$B:$B,$D70,VPA.Director!$A:$A,"&gt;="&amp;AA$60,VPA.Director!$A:$A,"&lt;="&amp;AA$61,VPA.Director!$D:$D,"&gt;"&amp;0)+sumifs(ADC.Director!$D:$D,ADC.Director!$B:$B,$D70,ADC.Director!$A:$A,"&gt;="&amp;AA$60,ADC.Director!$A:$A,"&lt;="&amp;AA$61,ADC.Director!$D:$D,"&gt;"&amp;0)+sumifs('000'!$D:$D,'000'!$B:$B,$D70,'000'!$A:$A,"&gt;="&amp;AA$60,'000'!$A:$A,"&lt;="&amp;AA$61,'000'!$D:$D,"&gt;"&amp;0)+sumifs('500'!$D:$D,'500'!$B:$B,$D70,'500'!$A:$A,"&gt;="&amp;AA$60,'500'!$A:$A,"&lt;="&amp;AA$60,'500'!$D:$D,"&gt;"&amp;0)+sumifs('300'!$D:$D,'300'!$B:$B,$D70,'300'!$A:$A,"&gt;="&amp;AA$60,'300'!$A:$A,"&lt;="&amp;AA$61,'300'!$D:$D,"&gt;"&amp;0)+sumifs('600.VPA'!$D:$D,'600.VPA'!$B:$B,$D70,'600.VPA'!$A:$A,"&gt;="&amp;AA$60,'600.VPA'!$A:$A,"&lt;="&amp;AA$61,'600.VPA'!$D:$D,"&gt;"&amp;0)</f>
        <v>0</v>
      </c>
      <c r="AB70" s="148">
        <f>sumifs(Boss!$D:$D,Boss!$B:$B,$D70,Boss!$A:$A,"&gt;="&amp;AB$60,Boss!$A:$A,"&lt;="&amp;AB$61,Boss!$D:$D,"&lt;"&amp;0)+sumifs(VPA.Director!$D:$D,VPA.Director!$B:$B,$D70,VPA.Director!$A:$A,"&gt;="&amp;AB$60,VPA.Director!$A:$A,"&lt;="&amp;AB$61,VPA.Director!$D:$D,"&lt;"&amp;0)+sumifs(ADC.Director!$D:$D,ADC.Director!$B:$B,$D70,ADC.Director!$A:$A,"&gt;="&amp;AB$60,ADC.Director!$A:$A,"&lt;="&amp;AB$61,ADC.Director!$D:$D,"&lt;"&amp;0)+sumifs('000'!$D:$D,'000'!$B:$B,$D70,'000'!$A:$A,"&gt;="&amp;AB$60,'000'!$A:$A,"&lt;="&amp;AB$61,'000'!$D:$D,"&lt;"&amp;0)+sumifs('500'!$D:$D,'500'!$B:$B,$D70,'500'!$A:$A,"&gt;="&amp;AB$60,'500'!$A:$A,"&lt;="&amp;AB$61,'500'!$D:$D,"&lt;"&amp;0)+sumifs('300'!$D:$D,'300'!$B:$B,$D70,'300'!$A:$A,"&gt;="&amp;AB$60,'300'!$A:$A,"&lt;="&amp;AB$61,'300'!$D:$D,"&lt;"&amp;0)+sumifs('600.VPA'!$D:$D,'600.VPA'!$B:$B,$D70,'600.VPA'!$A:$A,"&gt;="&amp;AB$60,'600.VPA'!$A:$A,"&lt;="&amp;AB$61,'600.VPA'!$D:$D,"&lt;"&amp;0)</f>
        <v>0</v>
      </c>
      <c r="AC70" s="149">
        <f>sumifs(Boss!$D:$D,Boss!$B:$B,$D70,Boss!$A:$A,"&gt;="&amp;AC$60,Boss!$A:$A,"&lt;="&amp;AC$61,Boss!$D:$D,"&gt;"&amp;0)+sumifs(VPA.Director!$D:$D,VPA.Director!$B:$B,$D70,VPA.Director!$A:$A,"&gt;="&amp;AC$60,VPA.Director!$A:$A,"&lt;="&amp;AC$61,VPA.Director!$D:$D,"&gt;"&amp;0)+sumifs(ADC.Director!$D:$D,ADC.Director!$B:$B,$D70,ADC.Director!$A:$A,"&gt;="&amp;AC$60,ADC.Director!$A:$A,"&lt;="&amp;AC$61,ADC.Director!$D:$D,"&gt;"&amp;0)+sumifs('000'!$D:$D,'000'!$B:$B,$D70,'000'!$A:$A,"&gt;="&amp;AC$60,'000'!$A:$A,"&lt;="&amp;AC$61,'000'!$D:$D,"&gt;"&amp;0)+sumifs('500'!$D:$D,'500'!$B:$B,$D70,'500'!$A:$A,"&gt;="&amp;AC$60,'500'!$A:$A,"&lt;="&amp;AC$60,'500'!$D:$D,"&gt;"&amp;0)+sumifs('300'!$D:$D,'300'!$B:$B,$D70,'300'!$A:$A,"&gt;="&amp;AC$60,'300'!$A:$A,"&lt;="&amp;AC$61,'300'!$D:$D,"&gt;"&amp;0)+sumifs('600.VPA'!$D:$D,'600.VPA'!$B:$B,$D70,'600.VPA'!$A:$A,"&gt;="&amp;AC$60,'600.VPA'!$A:$A,"&lt;="&amp;AC$61,'600.VPA'!$D:$D,"&gt;"&amp;0)</f>
        <v>0</v>
      </c>
      <c r="AD70" s="148">
        <f>sumifs(Boss!$D:$D,Boss!$B:$B,$D70,Boss!$A:$A,"&gt;="&amp;AD$60,Boss!$A:$A,"&lt;="&amp;AD$61,Boss!$D:$D,"&lt;"&amp;0)+sumifs(VPA.Director!$D:$D,VPA.Director!$B:$B,$D70,VPA.Director!$A:$A,"&gt;="&amp;AD$60,VPA.Director!$A:$A,"&lt;="&amp;AD$61,VPA.Director!$D:$D,"&lt;"&amp;0)+sumifs(ADC.Director!$D:$D,ADC.Director!$B:$B,$D70,ADC.Director!$A:$A,"&gt;="&amp;AD$60,ADC.Director!$A:$A,"&lt;="&amp;AD$61,ADC.Director!$D:$D,"&lt;"&amp;0)+sumifs('000'!$D:$D,'000'!$B:$B,$D70,'000'!$A:$A,"&gt;="&amp;AD$60,'000'!$A:$A,"&lt;="&amp;AD$61,'000'!$D:$D,"&lt;"&amp;0)+sumifs('500'!$D:$D,'500'!$B:$B,$D70,'500'!$A:$A,"&gt;="&amp;AD$60,'500'!$A:$A,"&lt;="&amp;AD$61,'500'!$D:$D,"&lt;"&amp;0)+sumifs('300'!$D:$D,'300'!$B:$B,$D70,'300'!$A:$A,"&gt;="&amp;AD$60,'300'!$A:$A,"&lt;="&amp;AD$61,'300'!$D:$D,"&lt;"&amp;0)+sumifs('600.VPA'!$D:$D,'600.VPA'!$B:$B,$D70,'600.VPA'!$A:$A,"&gt;="&amp;AD$60,'600.VPA'!$A:$A,"&lt;="&amp;AD$61,'600.VPA'!$D:$D,"&lt;"&amp;0)</f>
        <v>0</v>
      </c>
      <c r="AE70" s="149">
        <f>sumifs(Boss!$D:$D,Boss!$B:$B,$D70,Boss!$A:$A,"&gt;="&amp;AE$60,Boss!$A:$A,"&lt;="&amp;AE$61,Boss!$D:$D,"&gt;"&amp;0)+sumifs(VPA.Director!$D:$D,VPA.Director!$B:$B,$D70,VPA.Director!$A:$A,"&gt;="&amp;AE$60,VPA.Director!$A:$A,"&lt;="&amp;AE$61,VPA.Director!$D:$D,"&gt;"&amp;0)+sumifs(ADC.Director!$D:$D,ADC.Director!$B:$B,$D70,ADC.Director!$A:$A,"&gt;="&amp;AE$60,ADC.Director!$A:$A,"&lt;="&amp;AE$61,ADC.Director!$D:$D,"&gt;"&amp;0)+sumifs('000'!$D:$D,'000'!$B:$B,$D70,'000'!$A:$A,"&gt;="&amp;AE$60,'000'!$A:$A,"&lt;="&amp;AE$61,'000'!$D:$D,"&gt;"&amp;0)+sumifs('500'!$D:$D,'500'!$B:$B,$D70,'500'!$A:$A,"&gt;="&amp;AE$60,'500'!$A:$A,"&lt;="&amp;AE$60,'500'!$D:$D,"&gt;"&amp;0)+sumifs('300'!$D:$D,'300'!$B:$B,$D70,'300'!$A:$A,"&gt;="&amp;AE$60,'300'!$A:$A,"&lt;="&amp;AE$61,'300'!$D:$D,"&gt;"&amp;0)+sumifs('600.VPA'!$D:$D,'600.VPA'!$B:$B,$D70,'600.VPA'!$A:$A,"&gt;="&amp;AE$60,'600.VPA'!$A:$A,"&lt;="&amp;AE$61,'600.VPA'!$D:$D,"&gt;"&amp;0)</f>
        <v>0</v>
      </c>
      <c r="AF70" s="148">
        <f>sumifs(Boss!$D:$D,Boss!$B:$B,$D70,Boss!$A:$A,"&gt;="&amp;AF$60,Boss!$A:$A,"&lt;="&amp;AF$61,Boss!$D:$D,"&lt;"&amp;0)+sumifs(VPA.Director!$D:$D,VPA.Director!$B:$B,$D70,VPA.Director!$A:$A,"&gt;="&amp;AF$60,VPA.Director!$A:$A,"&lt;="&amp;AF$61,VPA.Director!$D:$D,"&lt;"&amp;0)+sumifs(ADC.Director!$D:$D,ADC.Director!$B:$B,$D70,ADC.Director!$A:$A,"&gt;="&amp;AF$60,ADC.Director!$A:$A,"&lt;="&amp;AF$61,ADC.Director!$D:$D,"&lt;"&amp;0)+sumifs('000'!$D:$D,'000'!$B:$B,$D70,'000'!$A:$A,"&gt;="&amp;AF$60,'000'!$A:$A,"&lt;="&amp;AF$61,'000'!$D:$D,"&lt;"&amp;0)+sumifs('500'!$D:$D,'500'!$B:$B,$D70,'500'!$A:$A,"&gt;="&amp;AF$60,'500'!$A:$A,"&lt;="&amp;AF$61,'500'!$D:$D,"&lt;"&amp;0)+sumifs('300'!$D:$D,'300'!$B:$B,$D70,'300'!$A:$A,"&gt;="&amp;AF$60,'300'!$A:$A,"&lt;="&amp;AF$61,'300'!$D:$D,"&lt;"&amp;0)+sumifs('600.VPA'!$D:$D,'600.VPA'!$B:$B,$D70,'600.VPA'!$A:$A,"&gt;="&amp;AF$60,'600.VPA'!$A:$A,"&lt;="&amp;AF$61,'600.VPA'!$D:$D,"&lt;"&amp;0)</f>
        <v>0</v>
      </c>
      <c r="AG70" s="149">
        <f>sumifs(Boss!$D:$D,Boss!$B:$B,$D70,Boss!$A:$A,"&gt;="&amp;AG$60,Boss!$A:$A,"&lt;="&amp;AG$61,Boss!$D:$D,"&gt;"&amp;0)+sumifs(VPA.Director!$D:$D,VPA.Director!$B:$B,$D70,VPA.Director!$A:$A,"&gt;="&amp;AG$60,VPA.Director!$A:$A,"&lt;="&amp;AG$61,VPA.Director!$D:$D,"&gt;"&amp;0)+sumifs(ADC.Director!$D:$D,ADC.Director!$B:$B,$D70,ADC.Director!$A:$A,"&gt;="&amp;AG$60,ADC.Director!$A:$A,"&lt;="&amp;AG$61,ADC.Director!$D:$D,"&gt;"&amp;0)+sumifs('000'!$D:$D,'000'!$B:$B,$D70,'000'!$A:$A,"&gt;="&amp;AG$60,'000'!$A:$A,"&lt;="&amp;AG$61,'000'!$D:$D,"&gt;"&amp;0)+sumifs('500'!$D:$D,'500'!$B:$B,$D70,'500'!$A:$A,"&gt;="&amp;AG$60,'500'!$A:$A,"&lt;="&amp;AG$60,'500'!$D:$D,"&gt;"&amp;0)+sumifs('300'!$D:$D,'300'!$B:$B,$D70,'300'!$A:$A,"&gt;="&amp;AG$60,'300'!$A:$A,"&lt;="&amp;AG$61,'300'!$D:$D,"&gt;"&amp;0)+sumifs('600.VPA'!$D:$D,'600.VPA'!$B:$B,$D70,'600.VPA'!$A:$A,"&gt;="&amp;AG$60,'600.VPA'!$A:$A,"&lt;="&amp;AG$61,'600.VPA'!$D:$D,"&gt;"&amp;0)</f>
        <v>0</v>
      </c>
      <c r="AH70" s="150">
        <f t="shared" ref="AH70:AI70" si="9">sum(I70,K70,M70,O70,Q70,S70,V70,X70,Z70,AB70,AD70,AF70)</f>
        <v>0</v>
      </c>
      <c r="AI70" s="151">
        <f t="shared" si="9"/>
        <v>0</v>
      </c>
      <c r="AJ70" s="150">
        <f t="shared" si="4"/>
        <v>0</v>
      </c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</row>
    <row r="71">
      <c r="A71" s="86"/>
      <c r="B71" s="144"/>
      <c r="D71" s="146" t="s">
        <v>62</v>
      </c>
      <c r="E71" s="147" t="s">
        <v>11</v>
      </c>
      <c r="F71" s="146" t="s">
        <v>143</v>
      </c>
      <c r="G71" s="146" t="s">
        <v>64</v>
      </c>
      <c r="H71" s="146" t="s">
        <v>42</v>
      </c>
      <c r="I71" s="148">
        <f>sumifs(Boss!$D:$D,Boss!$B:$B,$D71,Boss!$A:$A,"&gt;="&amp;I$60,Boss!$A:$A,"&lt;="&amp;I$61,Boss!$D:$D,"&lt;"&amp;0)+sumifs(VPA.Director!$D:$D,VPA.Director!$B:$B,$D71,VPA.Director!$A:$A,"&gt;="&amp;I$60,VPA.Director!$A:$A,"&lt;="&amp;I$61,VPA.Director!$D:$D,"&lt;"&amp;0)+sumifs(ADC.Director!$D:$D,ADC.Director!$B:$B,$D71,ADC.Director!$A:$A,"&gt;="&amp;I$60,ADC.Director!$A:$A,"&lt;="&amp;I$61,ADC.Director!$D:$D,"&lt;"&amp;0)+sumifs('000'!$D:$D,'000'!$B:$B,$D71,'000'!$A:$A,"&gt;="&amp;I$60,'000'!$A:$A,"&lt;="&amp;I$61,'000'!$D:$D,"&lt;"&amp;0)+sumifs('500'!$D:$D,'500'!$B:$B,$D71,'500'!$A:$A,"&gt;="&amp;I$60,'500'!$A:$A,"&lt;="&amp;I$61,'500'!$D:$D,"&lt;"&amp;0)+sumifs('300'!$D:$D,'300'!$B:$B,$D71,'300'!$A:$A,"&gt;="&amp;I$60,'300'!$A:$A,"&lt;="&amp;I$61,'300'!$D:$D,"&lt;"&amp;0)+sumifs('600.VPA'!$D:$D,'600.VPA'!$B:$B,$D71,'600.VPA'!$A:$A,"&gt;="&amp;I$60,'600.VPA'!$A:$A,"&lt;="&amp;I$61,'600.VPA'!$D:$D,"&lt;"&amp;0)</f>
        <v>0</v>
      </c>
      <c r="J71" s="149">
        <f>sumifs(Boss!$D:$D,Boss!$B:$B,$D71,Boss!$A:$A,"&gt;="&amp;J$60,Boss!$A:$A,"&lt;="&amp;J$61,Boss!$D:$D,"&gt;"&amp;0)+sumifs(VPA.Director!$D:$D,VPA.Director!$B:$B,$D71,VPA.Director!$A:$A,"&gt;="&amp;J$60,VPA.Director!$A:$A,"&lt;="&amp;J$61,VPA.Director!$D:$D,"&gt;"&amp;0)+sumifs(ADC.Director!$D:$D,ADC.Director!$B:$B,$D71,ADC.Director!$A:$A,"&gt;="&amp;J$60,ADC.Director!$A:$A,"&lt;="&amp;J$61,ADC.Director!$D:$D,"&gt;"&amp;0)+sumifs('000'!$D:$D,'000'!$B:$B,$D71,'000'!$A:$A,"&gt;="&amp;J$60,'000'!$A:$A,"&lt;="&amp;J$61,'000'!$D:$D,"&gt;"&amp;0)+sumifs('500'!$D:$D,'500'!$B:$B,$D71,'500'!$A:$A,"&gt;="&amp;J$60,'500'!$A:$A,"&lt;="&amp;J$60,'500'!$D:$D,"&gt;"&amp;0)+sumifs('300'!$D:$D,'300'!$B:$B,$D71,'300'!$A:$A,"&gt;="&amp;J$60,'300'!$A:$A,"&lt;="&amp;J$61,'300'!$D:$D,"&gt;"&amp;0)+sumifs('600.VPA'!$D:$D,'600.VPA'!$B:$B,$D71,'600.VPA'!$A:$A,"&gt;="&amp;J$60,'600.VPA'!$A:$A,"&lt;="&amp;J$61,'600.VPA'!$D:$D,"&gt;"&amp;0)</f>
        <v>0</v>
      </c>
      <c r="K71" s="148">
        <f>sumifs(Boss!$D:$D,Boss!$B:$B,$D71,Boss!$A:$A,"&gt;="&amp;K$60,Boss!$A:$A,"&lt;="&amp;K$61,Boss!$D:$D,"&lt;"&amp;0)+sumifs(VPA.Director!$D:$D,VPA.Director!$B:$B,$D71,VPA.Director!$A:$A,"&gt;="&amp;K$60,VPA.Director!$A:$A,"&lt;="&amp;K$61,VPA.Director!$D:$D,"&lt;"&amp;0)+sumifs(ADC.Director!$D:$D,ADC.Director!$B:$B,$D71,ADC.Director!$A:$A,"&gt;="&amp;K$60,ADC.Director!$A:$A,"&lt;="&amp;K$61,ADC.Director!$D:$D,"&lt;"&amp;0)+sumifs('000'!$D:$D,'000'!$B:$B,$D71,'000'!$A:$A,"&gt;="&amp;K$60,'000'!$A:$A,"&lt;="&amp;K$61,'000'!$D:$D,"&lt;"&amp;0)+sumifs('500'!$D:$D,'500'!$B:$B,$D71,'500'!$A:$A,"&gt;="&amp;K$60,'500'!$A:$A,"&lt;="&amp;K$61,'500'!$D:$D,"&lt;"&amp;0)+sumifs('300'!$D:$D,'300'!$B:$B,$D71,'300'!$A:$A,"&gt;="&amp;K$60,'300'!$A:$A,"&lt;="&amp;K$61,'300'!$D:$D,"&lt;"&amp;0)+sumifs('600.VPA'!$D:$D,'600.VPA'!$B:$B,$D71,'600.VPA'!$A:$A,"&gt;="&amp;K$60,'600.VPA'!$A:$A,"&lt;="&amp;K$61,'600.VPA'!$D:$D,"&lt;"&amp;0)</f>
        <v>0</v>
      </c>
      <c r="L71" s="149">
        <f>sumifs(Boss!$D:$D,Boss!$B:$B,$D71,Boss!$A:$A,"&gt;="&amp;L$60,Boss!$A:$A,"&lt;="&amp;L$61,Boss!$D:$D,"&gt;"&amp;0)+sumifs(VPA.Director!$D:$D,VPA.Director!$B:$B,$D71,VPA.Director!$A:$A,"&gt;="&amp;L$60,VPA.Director!$A:$A,"&lt;="&amp;L$61,VPA.Director!$D:$D,"&gt;"&amp;0)+sumifs(ADC.Director!$D:$D,ADC.Director!$B:$B,$D71,ADC.Director!$A:$A,"&gt;="&amp;L$60,ADC.Director!$A:$A,"&lt;="&amp;L$61,ADC.Director!$D:$D,"&gt;"&amp;0)+sumifs('000'!$D:$D,'000'!$B:$B,$D71,'000'!$A:$A,"&gt;="&amp;L$60,'000'!$A:$A,"&lt;="&amp;L$61,'000'!$D:$D,"&gt;"&amp;0)+sumifs('500'!$D:$D,'500'!$B:$B,$D71,'500'!$A:$A,"&gt;="&amp;L$60,'500'!$A:$A,"&lt;="&amp;L$60,'500'!$D:$D,"&gt;"&amp;0)+sumifs('300'!$D:$D,'300'!$B:$B,$D71,'300'!$A:$A,"&gt;="&amp;L$60,'300'!$A:$A,"&lt;="&amp;L$61,'300'!$D:$D,"&gt;"&amp;0)+sumifs('600.VPA'!$D:$D,'600.VPA'!$B:$B,$D71,'600.VPA'!$A:$A,"&gt;="&amp;L$60,'600.VPA'!$A:$A,"&lt;="&amp;L$61,'600.VPA'!$D:$D,"&gt;"&amp;0)</f>
        <v>0</v>
      </c>
      <c r="M71" s="148">
        <f>sumifs(Boss!$D:$D,Boss!$B:$B,$D71,Boss!$A:$A,"&gt;="&amp;M$60,Boss!$A:$A,"&lt;="&amp;M$61,Boss!$D:$D,"&lt;"&amp;0)+sumifs(VPA.Director!$D:$D,VPA.Director!$B:$B,$D71,VPA.Director!$A:$A,"&gt;="&amp;M$60,VPA.Director!$A:$A,"&lt;="&amp;M$61,VPA.Director!$D:$D,"&lt;"&amp;0)+sumifs(ADC.Director!$D:$D,ADC.Director!$B:$B,$D71,ADC.Director!$A:$A,"&gt;="&amp;M$60,ADC.Director!$A:$A,"&lt;="&amp;M$61,ADC.Director!$D:$D,"&lt;"&amp;0)+sumifs('000'!$D:$D,'000'!$B:$B,$D71,'000'!$A:$A,"&gt;="&amp;M$60,'000'!$A:$A,"&lt;="&amp;M$61,'000'!$D:$D,"&lt;"&amp;0)+sumifs('500'!$D:$D,'500'!$B:$B,$D71,'500'!$A:$A,"&gt;="&amp;M$60,'500'!$A:$A,"&lt;="&amp;M$61,'500'!$D:$D,"&lt;"&amp;0)+sumifs('300'!$D:$D,'300'!$B:$B,$D71,'300'!$A:$A,"&gt;="&amp;M$60,'300'!$A:$A,"&lt;="&amp;M$61,'300'!$D:$D,"&lt;"&amp;0)+sumifs('600.VPA'!$D:$D,'600.VPA'!$B:$B,$D71,'600.VPA'!$A:$A,"&gt;="&amp;M$60,'600.VPA'!$A:$A,"&lt;="&amp;M$61,'600.VPA'!$D:$D,"&lt;"&amp;0)</f>
        <v>0</v>
      </c>
      <c r="N71" s="149">
        <f>sumifs(Boss!$D:$D,Boss!$B:$B,$D71,Boss!$A:$A,"&gt;="&amp;N$60,Boss!$A:$A,"&lt;="&amp;N$61,Boss!$D:$D,"&gt;"&amp;0)+sumifs(VPA.Director!$D:$D,VPA.Director!$B:$B,$D71,VPA.Director!$A:$A,"&gt;="&amp;N$60,VPA.Director!$A:$A,"&lt;="&amp;N$61,VPA.Director!$D:$D,"&gt;"&amp;0)+sumifs(ADC.Director!$D:$D,ADC.Director!$B:$B,$D71,ADC.Director!$A:$A,"&gt;="&amp;N$60,ADC.Director!$A:$A,"&lt;="&amp;N$61,ADC.Director!$D:$D,"&gt;"&amp;0)+sumifs('000'!$D:$D,'000'!$B:$B,$D71,'000'!$A:$A,"&gt;="&amp;N$60,'000'!$A:$A,"&lt;="&amp;N$61,'000'!$D:$D,"&gt;"&amp;0)+sumifs('500'!$D:$D,'500'!$B:$B,$D71,'500'!$A:$A,"&gt;="&amp;N$60,'500'!$A:$A,"&lt;="&amp;N$60,'500'!$D:$D,"&gt;"&amp;0)+sumifs('300'!$D:$D,'300'!$B:$B,$D71,'300'!$A:$A,"&gt;="&amp;N$60,'300'!$A:$A,"&lt;="&amp;N$61,'300'!$D:$D,"&gt;"&amp;0)+sumifs('600.VPA'!$D:$D,'600.VPA'!$B:$B,$D71,'600.VPA'!$A:$A,"&gt;="&amp;N$60,'600.VPA'!$A:$A,"&lt;="&amp;N$61,'600.VPA'!$D:$D,"&gt;"&amp;0)</f>
        <v>0</v>
      </c>
      <c r="O71" s="148">
        <f>sumifs(Boss!$D:$D,Boss!$B:$B,$D71,Boss!$A:$A,"&gt;="&amp;O$60,Boss!$A:$A,"&lt;="&amp;O$61,Boss!$D:$D,"&lt;"&amp;0)+sumifs(VPA.Director!$D:$D,VPA.Director!$B:$B,$D71,VPA.Director!$A:$A,"&gt;="&amp;O$60,VPA.Director!$A:$A,"&lt;="&amp;O$61,VPA.Director!$D:$D,"&lt;"&amp;0)+sumifs(ADC.Director!$D:$D,ADC.Director!$B:$B,$D71,ADC.Director!$A:$A,"&gt;="&amp;O$60,ADC.Director!$A:$A,"&lt;="&amp;O$61,ADC.Director!$D:$D,"&lt;"&amp;0)+sumifs('000'!$D:$D,'000'!$B:$B,$D71,'000'!$A:$A,"&gt;="&amp;O$60,'000'!$A:$A,"&lt;="&amp;O$61,'000'!$D:$D,"&lt;"&amp;0)+sumifs('500'!$D:$D,'500'!$B:$B,$D71,'500'!$A:$A,"&gt;="&amp;O$60,'500'!$A:$A,"&lt;="&amp;O$61,'500'!$D:$D,"&lt;"&amp;0)+sumifs('300'!$D:$D,'300'!$B:$B,$D71,'300'!$A:$A,"&gt;="&amp;O$60,'300'!$A:$A,"&lt;="&amp;O$61,'300'!$D:$D,"&lt;"&amp;0)+sumifs('600.VPA'!$D:$D,'600.VPA'!$B:$B,$D71,'600.VPA'!$A:$A,"&gt;="&amp;O$60,'600.VPA'!$A:$A,"&lt;="&amp;O$61,'600.VPA'!$D:$D,"&lt;"&amp;0)</f>
        <v>0</v>
      </c>
      <c r="P71" s="149">
        <f>sumifs(Boss!$D:$D,Boss!$B:$B,$D71,Boss!$A:$A,"&gt;="&amp;P$60,Boss!$A:$A,"&lt;="&amp;P$61,Boss!$D:$D,"&gt;"&amp;0)+sumifs(VPA.Director!$D:$D,VPA.Director!$B:$B,$D71,VPA.Director!$A:$A,"&gt;="&amp;P$60,VPA.Director!$A:$A,"&lt;="&amp;P$61,VPA.Director!$D:$D,"&gt;"&amp;0)+sumifs(ADC.Director!$D:$D,ADC.Director!$B:$B,$D71,ADC.Director!$A:$A,"&gt;="&amp;P$60,ADC.Director!$A:$A,"&lt;="&amp;P$61,ADC.Director!$D:$D,"&gt;"&amp;0)+sumifs('000'!$D:$D,'000'!$B:$B,$D71,'000'!$A:$A,"&gt;="&amp;P$60,'000'!$A:$A,"&lt;="&amp;P$61,'000'!$D:$D,"&gt;"&amp;0)+sumifs('500'!$D:$D,'500'!$B:$B,$D71,'500'!$A:$A,"&gt;="&amp;P$60,'500'!$A:$A,"&lt;="&amp;P$60,'500'!$D:$D,"&gt;"&amp;0)+sumifs('300'!$D:$D,'300'!$B:$B,$D71,'300'!$A:$A,"&gt;="&amp;P$60,'300'!$A:$A,"&lt;="&amp;P$61,'300'!$D:$D,"&gt;"&amp;0)+sumifs('600.VPA'!$D:$D,'600.VPA'!$B:$B,$D71,'600.VPA'!$A:$A,"&gt;="&amp;P$60,'600.VPA'!$A:$A,"&lt;="&amp;P$61,'600.VPA'!$D:$D,"&gt;"&amp;0)</f>
        <v>0</v>
      </c>
      <c r="Q71" s="148">
        <f>sumifs(Boss!$D:$D,Boss!$B:$B,$D71,Boss!$A:$A,"&gt;="&amp;Q$60,Boss!$A:$A,"&lt;="&amp;Q$61,Boss!$D:$D,"&lt;"&amp;0)+sumifs(VPA.Director!$D:$D,VPA.Director!$B:$B,$D71,VPA.Director!$A:$A,"&gt;="&amp;Q$60,VPA.Director!$A:$A,"&lt;="&amp;Q$61,VPA.Director!$D:$D,"&lt;"&amp;0)+sumifs(ADC.Director!$D:$D,ADC.Director!$B:$B,$D71,ADC.Director!$A:$A,"&gt;="&amp;Q$60,ADC.Director!$A:$A,"&lt;="&amp;Q$61,ADC.Director!$D:$D,"&lt;"&amp;0)+sumifs('000'!$D:$D,'000'!$B:$B,$D71,'000'!$A:$A,"&gt;="&amp;Q$60,'000'!$A:$A,"&lt;="&amp;Q$61,'000'!$D:$D,"&lt;"&amp;0)+sumifs('500'!$D:$D,'500'!$B:$B,$D71,'500'!$A:$A,"&gt;="&amp;Q$60,'500'!$A:$A,"&lt;="&amp;Q$61,'500'!$D:$D,"&lt;"&amp;0)+sumifs('300'!$D:$D,'300'!$B:$B,$D71,'300'!$A:$A,"&gt;="&amp;Q$60,'300'!$A:$A,"&lt;="&amp;Q$61,'300'!$D:$D,"&lt;"&amp;0)+sumifs('600.VPA'!$D:$D,'600.VPA'!$B:$B,$D71,'600.VPA'!$A:$A,"&gt;="&amp;Q$60,'600.VPA'!$A:$A,"&lt;="&amp;Q$61,'600.VPA'!$D:$D,"&lt;"&amp;0)</f>
        <v>0</v>
      </c>
      <c r="R71" s="149">
        <f>sumifs(Boss!$D:$D,Boss!$B:$B,$D71,Boss!$A:$A,"&gt;="&amp;R$60,Boss!$A:$A,"&lt;="&amp;R$61,Boss!$D:$D,"&gt;"&amp;0)+sumifs(VPA.Director!$D:$D,VPA.Director!$B:$B,$D71,VPA.Director!$A:$A,"&gt;="&amp;R$60,VPA.Director!$A:$A,"&lt;="&amp;R$61,VPA.Director!$D:$D,"&gt;"&amp;0)+sumifs(ADC.Director!$D:$D,ADC.Director!$B:$B,$D71,ADC.Director!$A:$A,"&gt;="&amp;R$60,ADC.Director!$A:$A,"&lt;="&amp;R$61,ADC.Director!$D:$D,"&gt;"&amp;0)+sumifs('000'!$D:$D,'000'!$B:$B,$D71,'000'!$A:$A,"&gt;="&amp;R$60,'000'!$A:$A,"&lt;="&amp;R$61,'000'!$D:$D,"&gt;"&amp;0)+sumifs('500'!$D:$D,'500'!$B:$B,$D71,'500'!$A:$A,"&gt;="&amp;R$60,'500'!$A:$A,"&lt;="&amp;R$60,'500'!$D:$D,"&gt;"&amp;0)+sumifs('300'!$D:$D,'300'!$B:$B,$D71,'300'!$A:$A,"&gt;="&amp;R$60,'300'!$A:$A,"&lt;="&amp;R$61,'300'!$D:$D,"&gt;"&amp;0)+sumifs('600.VPA'!$D:$D,'600.VPA'!$B:$B,$D71,'600.VPA'!$A:$A,"&gt;="&amp;R$60,'600.VPA'!$A:$A,"&lt;="&amp;R$61,'600.VPA'!$D:$D,"&gt;"&amp;0)</f>
        <v>0</v>
      </c>
      <c r="S71" s="148">
        <f>sumifs(Boss!$D:$D,Boss!$B:$B,$D71,Boss!$A:$A,"&gt;="&amp;S$60,Boss!$A:$A,"&lt;="&amp;S$61,Boss!$D:$D,"&lt;"&amp;0)+sumifs(VPA.Director!$D:$D,VPA.Director!$B:$B,$D71,VPA.Director!$A:$A,"&gt;="&amp;S$60,VPA.Director!$A:$A,"&lt;="&amp;S$61,VPA.Director!$D:$D,"&lt;"&amp;0)+sumifs(ADC.Director!$D:$D,ADC.Director!$B:$B,$D71,ADC.Director!$A:$A,"&gt;="&amp;S$60,ADC.Director!$A:$A,"&lt;="&amp;S$61,ADC.Director!$D:$D,"&lt;"&amp;0)+sumifs('000'!$D:$D,'000'!$B:$B,$D71,'000'!$A:$A,"&gt;="&amp;S$60,'000'!$A:$A,"&lt;="&amp;S$61,'000'!$D:$D,"&lt;"&amp;0)+sumifs('500'!$D:$D,'500'!$B:$B,$D71,'500'!$A:$A,"&gt;="&amp;S$60,'500'!$A:$A,"&lt;="&amp;S$61,'500'!$D:$D,"&lt;"&amp;0)+sumifs('300'!$D:$D,'300'!$B:$B,$D71,'300'!$A:$A,"&gt;="&amp;S$60,'300'!$A:$A,"&lt;="&amp;S$61,'300'!$D:$D,"&lt;"&amp;0)+sumifs('600.VPA'!$D:$D,'600.VPA'!$B:$B,$D71,'600.VPA'!$A:$A,"&gt;="&amp;S$60,'600.VPA'!$A:$A,"&lt;="&amp;S$61,'600.VPA'!$D:$D,"&lt;"&amp;0)</f>
        <v>0</v>
      </c>
      <c r="T71" s="149">
        <f>sumifs(Boss!$D:$D,Boss!$B:$B,$D71,Boss!$A:$A,"&gt;="&amp;T$60,Boss!$A:$A,"&lt;="&amp;T$61,Boss!$D:$D,"&gt;"&amp;0)+sumifs(VPA.Director!$D:$D,VPA.Director!$B:$B,$D71,VPA.Director!$A:$A,"&gt;="&amp;T$60,VPA.Director!$A:$A,"&lt;="&amp;T$61,VPA.Director!$D:$D,"&gt;"&amp;0)+sumifs(ADC.Director!$D:$D,ADC.Director!$B:$B,$D71,ADC.Director!$A:$A,"&gt;="&amp;T$60,ADC.Director!$A:$A,"&lt;="&amp;T$61,ADC.Director!$D:$D,"&gt;"&amp;0)+sumifs('000'!$D:$D,'000'!$B:$B,$D71,'000'!$A:$A,"&gt;="&amp;T$60,'000'!$A:$A,"&lt;="&amp;T$61,'000'!$D:$D,"&gt;"&amp;0)+sumifs('500'!$D:$D,'500'!$B:$B,$D71,'500'!$A:$A,"&gt;="&amp;T$60,'500'!$A:$A,"&lt;="&amp;T$60,'500'!$D:$D,"&gt;"&amp;0)+sumifs('300'!$D:$D,'300'!$B:$B,$D71,'300'!$A:$A,"&gt;="&amp;T$60,'300'!$A:$A,"&lt;="&amp;T$61,'300'!$D:$D,"&gt;"&amp;0)+sumifs('600.VPA'!$D:$D,'600.VPA'!$B:$B,$D71,'600.VPA'!$A:$A,"&gt;="&amp;T$60,'600.VPA'!$A:$A,"&lt;="&amp;T$61,'600.VPA'!$D:$D,"&gt;"&amp;0)</f>
        <v>0</v>
      </c>
      <c r="U71" s="144"/>
      <c r="V71" s="148">
        <f>sumifs(Boss!$D:$D,Boss!$B:$B,$D71,Boss!$A:$A,"&gt;="&amp;V$60,Boss!$A:$A,"&lt;="&amp;V$61,Boss!$D:$D,"&lt;"&amp;0)+sumifs(VPA.Director!$D:$D,VPA.Director!$B:$B,$D71,VPA.Director!$A:$A,"&gt;="&amp;V$60,VPA.Director!$A:$A,"&lt;="&amp;V$61,VPA.Director!$D:$D,"&lt;"&amp;0)+sumifs(ADC.Director!$D:$D,ADC.Director!$B:$B,$D71,ADC.Director!$A:$A,"&gt;="&amp;V$60,ADC.Director!$A:$A,"&lt;="&amp;V$61,ADC.Director!$D:$D,"&lt;"&amp;0)+sumifs('000'!$D:$D,'000'!$B:$B,$D71,'000'!$A:$A,"&gt;="&amp;V$60,'000'!$A:$A,"&lt;="&amp;V$61,'000'!$D:$D,"&lt;"&amp;0)+sumifs('500'!$D:$D,'500'!$B:$B,$D71,'500'!$A:$A,"&gt;="&amp;V$60,'500'!$A:$A,"&lt;="&amp;V$61,'500'!$D:$D,"&lt;"&amp;0)+sumifs('300'!$D:$D,'300'!$B:$B,$D71,'300'!$A:$A,"&gt;="&amp;V$60,'300'!$A:$A,"&lt;="&amp;V$61,'300'!$D:$D,"&lt;"&amp;0)+sumifs('600.VPA'!$D:$D,'600.VPA'!$B:$B,$D71,'600.VPA'!$A:$A,"&gt;="&amp;V$60,'600.VPA'!$A:$A,"&lt;="&amp;V$61,'600.VPA'!$D:$D,"&lt;"&amp;0)</f>
        <v>0</v>
      </c>
      <c r="W71" s="149">
        <f>sumifs(Boss!$D:$D,Boss!$B:$B,$D71,Boss!$A:$A,"&gt;="&amp;W$60,Boss!$A:$A,"&lt;="&amp;W$61,Boss!$D:$D,"&gt;"&amp;0)+sumifs(VPA.Director!$D:$D,VPA.Director!$B:$B,$D71,VPA.Director!$A:$A,"&gt;="&amp;W$60,VPA.Director!$A:$A,"&lt;="&amp;W$61,VPA.Director!$D:$D,"&gt;"&amp;0)+sumifs(ADC.Director!$D:$D,ADC.Director!$B:$B,$D71,ADC.Director!$A:$A,"&gt;="&amp;W$60,ADC.Director!$A:$A,"&lt;="&amp;W$61,ADC.Director!$D:$D,"&gt;"&amp;0)+sumifs('000'!$D:$D,'000'!$B:$B,$D71,'000'!$A:$A,"&gt;="&amp;W$60,'000'!$A:$A,"&lt;="&amp;W$61,'000'!$D:$D,"&gt;"&amp;0)+sumifs('500'!$D:$D,'500'!$B:$B,$D71,'500'!$A:$A,"&gt;="&amp;W$60,'500'!$A:$A,"&lt;="&amp;W$60,'500'!$D:$D,"&gt;"&amp;0)+sumifs('300'!$D:$D,'300'!$B:$B,$D71,'300'!$A:$A,"&gt;="&amp;W$60,'300'!$A:$A,"&lt;="&amp;W$61,'300'!$D:$D,"&gt;"&amp;0)+sumifs('600.VPA'!$D:$D,'600.VPA'!$B:$B,$D71,'600.VPA'!$A:$A,"&gt;="&amp;W$60,'600.VPA'!$A:$A,"&lt;="&amp;W$61,'600.VPA'!$D:$D,"&gt;"&amp;0)</f>
        <v>0</v>
      </c>
      <c r="X71" s="148">
        <f>sumifs(Boss!$D:$D,Boss!$B:$B,$D71,Boss!$A:$A,"&gt;="&amp;X$60,Boss!$A:$A,"&lt;="&amp;X$61,Boss!$D:$D,"&lt;"&amp;0)+sumifs(VPA.Director!$D:$D,VPA.Director!$B:$B,$D71,VPA.Director!$A:$A,"&gt;="&amp;X$60,VPA.Director!$A:$A,"&lt;="&amp;X$61,VPA.Director!$D:$D,"&lt;"&amp;0)+sumifs(ADC.Director!$D:$D,ADC.Director!$B:$B,$D71,ADC.Director!$A:$A,"&gt;="&amp;X$60,ADC.Director!$A:$A,"&lt;="&amp;X$61,ADC.Director!$D:$D,"&lt;"&amp;0)+sumifs('000'!$D:$D,'000'!$B:$B,$D71,'000'!$A:$A,"&gt;="&amp;X$60,'000'!$A:$A,"&lt;="&amp;X$61,'000'!$D:$D,"&lt;"&amp;0)+sumifs('500'!$D:$D,'500'!$B:$B,$D71,'500'!$A:$A,"&gt;="&amp;X$60,'500'!$A:$A,"&lt;="&amp;X$61,'500'!$D:$D,"&lt;"&amp;0)+sumifs('300'!$D:$D,'300'!$B:$B,$D71,'300'!$A:$A,"&gt;="&amp;X$60,'300'!$A:$A,"&lt;="&amp;X$61,'300'!$D:$D,"&lt;"&amp;0)+sumifs('600.VPA'!$D:$D,'600.VPA'!$B:$B,$D71,'600.VPA'!$A:$A,"&gt;="&amp;X$60,'600.VPA'!$A:$A,"&lt;="&amp;X$61,'600.VPA'!$D:$D,"&lt;"&amp;0)</f>
        <v>0</v>
      </c>
      <c r="Y71" s="149">
        <f>sumifs(Boss!$D:$D,Boss!$B:$B,$D71,Boss!$A:$A,"&gt;="&amp;Y$60,Boss!$A:$A,"&lt;="&amp;Y$61,Boss!$D:$D,"&gt;"&amp;0)+sumifs(VPA.Director!$D:$D,VPA.Director!$B:$B,$D71,VPA.Director!$A:$A,"&gt;="&amp;Y$60,VPA.Director!$A:$A,"&lt;="&amp;Y$61,VPA.Director!$D:$D,"&gt;"&amp;0)+sumifs(ADC.Director!$D:$D,ADC.Director!$B:$B,$D71,ADC.Director!$A:$A,"&gt;="&amp;Y$60,ADC.Director!$A:$A,"&lt;="&amp;Y$61,ADC.Director!$D:$D,"&gt;"&amp;0)+sumifs('000'!$D:$D,'000'!$B:$B,$D71,'000'!$A:$A,"&gt;="&amp;Y$60,'000'!$A:$A,"&lt;="&amp;Y$61,'000'!$D:$D,"&gt;"&amp;0)+sumifs('500'!$D:$D,'500'!$B:$B,$D71,'500'!$A:$A,"&gt;="&amp;Y$60,'500'!$A:$A,"&lt;="&amp;Y$60,'500'!$D:$D,"&gt;"&amp;0)+sumifs('300'!$D:$D,'300'!$B:$B,$D71,'300'!$A:$A,"&gt;="&amp;Y$60,'300'!$A:$A,"&lt;="&amp;Y$61,'300'!$D:$D,"&gt;"&amp;0)+sumifs('600.VPA'!$D:$D,'600.VPA'!$B:$B,$D71,'600.VPA'!$A:$A,"&gt;="&amp;Y$60,'600.VPA'!$A:$A,"&lt;="&amp;Y$61,'600.VPA'!$D:$D,"&gt;"&amp;0)</f>
        <v>0</v>
      </c>
      <c r="Z71" s="148">
        <f>sumifs(Boss!$D:$D,Boss!$B:$B,$D71,Boss!$A:$A,"&gt;="&amp;Z$60,Boss!$A:$A,"&lt;="&amp;Z$61,Boss!$D:$D,"&lt;"&amp;0)+sumifs(VPA.Director!$D:$D,VPA.Director!$B:$B,$D71,VPA.Director!$A:$A,"&gt;="&amp;Z$60,VPA.Director!$A:$A,"&lt;="&amp;Z$61,VPA.Director!$D:$D,"&lt;"&amp;0)+sumifs(ADC.Director!$D:$D,ADC.Director!$B:$B,$D71,ADC.Director!$A:$A,"&gt;="&amp;Z$60,ADC.Director!$A:$A,"&lt;="&amp;Z$61,ADC.Director!$D:$D,"&lt;"&amp;0)+sumifs('000'!$D:$D,'000'!$B:$B,$D71,'000'!$A:$A,"&gt;="&amp;Z$60,'000'!$A:$A,"&lt;="&amp;Z$61,'000'!$D:$D,"&lt;"&amp;0)+sumifs('500'!$D:$D,'500'!$B:$B,$D71,'500'!$A:$A,"&gt;="&amp;Z$60,'500'!$A:$A,"&lt;="&amp;Z$61,'500'!$D:$D,"&lt;"&amp;0)+sumifs('300'!$D:$D,'300'!$B:$B,$D71,'300'!$A:$A,"&gt;="&amp;Z$60,'300'!$A:$A,"&lt;="&amp;Z$61,'300'!$D:$D,"&lt;"&amp;0)+sumifs('600.VPA'!$D:$D,'600.VPA'!$B:$B,$D71,'600.VPA'!$A:$A,"&gt;="&amp;Z$60,'600.VPA'!$A:$A,"&lt;="&amp;Z$61,'600.VPA'!$D:$D,"&lt;"&amp;0)</f>
        <v>0</v>
      </c>
      <c r="AA71" s="149">
        <f>sumifs(Boss!$D:$D,Boss!$B:$B,$D71,Boss!$A:$A,"&gt;="&amp;AA$60,Boss!$A:$A,"&lt;="&amp;AA$61,Boss!$D:$D,"&gt;"&amp;0)+sumifs(VPA.Director!$D:$D,VPA.Director!$B:$B,$D71,VPA.Director!$A:$A,"&gt;="&amp;AA$60,VPA.Director!$A:$A,"&lt;="&amp;AA$61,VPA.Director!$D:$D,"&gt;"&amp;0)+sumifs(ADC.Director!$D:$D,ADC.Director!$B:$B,$D71,ADC.Director!$A:$A,"&gt;="&amp;AA$60,ADC.Director!$A:$A,"&lt;="&amp;AA$61,ADC.Director!$D:$D,"&gt;"&amp;0)+sumifs('000'!$D:$D,'000'!$B:$B,$D71,'000'!$A:$A,"&gt;="&amp;AA$60,'000'!$A:$A,"&lt;="&amp;AA$61,'000'!$D:$D,"&gt;"&amp;0)+sumifs('500'!$D:$D,'500'!$B:$B,$D71,'500'!$A:$A,"&gt;="&amp;AA$60,'500'!$A:$A,"&lt;="&amp;AA$60,'500'!$D:$D,"&gt;"&amp;0)+sumifs('300'!$D:$D,'300'!$B:$B,$D71,'300'!$A:$A,"&gt;="&amp;AA$60,'300'!$A:$A,"&lt;="&amp;AA$61,'300'!$D:$D,"&gt;"&amp;0)+sumifs('600.VPA'!$D:$D,'600.VPA'!$B:$B,$D71,'600.VPA'!$A:$A,"&gt;="&amp;AA$60,'600.VPA'!$A:$A,"&lt;="&amp;AA$61,'600.VPA'!$D:$D,"&gt;"&amp;0)</f>
        <v>0</v>
      </c>
      <c r="AB71" s="148">
        <f>sumifs(Boss!$D:$D,Boss!$B:$B,$D71,Boss!$A:$A,"&gt;="&amp;AB$60,Boss!$A:$A,"&lt;="&amp;AB$61,Boss!$D:$D,"&lt;"&amp;0)+sumifs(VPA.Director!$D:$D,VPA.Director!$B:$B,$D71,VPA.Director!$A:$A,"&gt;="&amp;AB$60,VPA.Director!$A:$A,"&lt;="&amp;AB$61,VPA.Director!$D:$D,"&lt;"&amp;0)+sumifs(ADC.Director!$D:$D,ADC.Director!$B:$B,$D71,ADC.Director!$A:$A,"&gt;="&amp;AB$60,ADC.Director!$A:$A,"&lt;="&amp;AB$61,ADC.Director!$D:$D,"&lt;"&amp;0)+sumifs('000'!$D:$D,'000'!$B:$B,$D71,'000'!$A:$A,"&gt;="&amp;AB$60,'000'!$A:$A,"&lt;="&amp;AB$61,'000'!$D:$D,"&lt;"&amp;0)+sumifs('500'!$D:$D,'500'!$B:$B,$D71,'500'!$A:$A,"&gt;="&amp;AB$60,'500'!$A:$A,"&lt;="&amp;AB$61,'500'!$D:$D,"&lt;"&amp;0)+sumifs('300'!$D:$D,'300'!$B:$B,$D71,'300'!$A:$A,"&gt;="&amp;AB$60,'300'!$A:$A,"&lt;="&amp;AB$61,'300'!$D:$D,"&lt;"&amp;0)+sumifs('600.VPA'!$D:$D,'600.VPA'!$B:$B,$D71,'600.VPA'!$A:$A,"&gt;="&amp;AB$60,'600.VPA'!$A:$A,"&lt;="&amp;AB$61,'600.VPA'!$D:$D,"&lt;"&amp;0)</f>
        <v>0</v>
      </c>
      <c r="AC71" s="149">
        <f>sumifs(Boss!$D:$D,Boss!$B:$B,$D71,Boss!$A:$A,"&gt;="&amp;AC$60,Boss!$A:$A,"&lt;="&amp;AC$61,Boss!$D:$D,"&gt;"&amp;0)+sumifs(VPA.Director!$D:$D,VPA.Director!$B:$B,$D71,VPA.Director!$A:$A,"&gt;="&amp;AC$60,VPA.Director!$A:$A,"&lt;="&amp;AC$61,VPA.Director!$D:$D,"&gt;"&amp;0)+sumifs(ADC.Director!$D:$D,ADC.Director!$B:$B,$D71,ADC.Director!$A:$A,"&gt;="&amp;AC$60,ADC.Director!$A:$A,"&lt;="&amp;AC$61,ADC.Director!$D:$D,"&gt;"&amp;0)+sumifs('000'!$D:$D,'000'!$B:$B,$D71,'000'!$A:$A,"&gt;="&amp;AC$60,'000'!$A:$A,"&lt;="&amp;AC$61,'000'!$D:$D,"&gt;"&amp;0)+sumifs('500'!$D:$D,'500'!$B:$B,$D71,'500'!$A:$A,"&gt;="&amp;AC$60,'500'!$A:$A,"&lt;="&amp;AC$60,'500'!$D:$D,"&gt;"&amp;0)+sumifs('300'!$D:$D,'300'!$B:$B,$D71,'300'!$A:$A,"&gt;="&amp;AC$60,'300'!$A:$A,"&lt;="&amp;AC$61,'300'!$D:$D,"&gt;"&amp;0)+sumifs('600.VPA'!$D:$D,'600.VPA'!$B:$B,$D71,'600.VPA'!$A:$A,"&gt;="&amp;AC$60,'600.VPA'!$A:$A,"&lt;="&amp;AC$61,'600.VPA'!$D:$D,"&gt;"&amp;0)</f>
        <v>0</v>
      </c>
      <c r="AD71" s="148">
        <f>sumifs(Boss!$D:$D,Boss!$B:$B,$D71,Boss!$A:$A,"&gt;="&amp;AD$60,Boss!$A:$A,"&lt;="&amp;AD$61,Boss!$D:$D,"&lt;"&amp;0)+sumifs(VPA.Director!$D:$D,VPA.Director!$B:$B,$D71,VPA.Director!$A:$A,"&gt;="&amp;AD$60,VPA.Director!$A:$A,"&lt;="&amp;AD$61,VPA.Director!$D:$D,"&lt;"&amp;0)+sumifs(ADC.Director!$D:$D,ADC.Director!$B:$B,$D71,ADC.Director!$A:$A,"&gt;="&amp;AD$60,ADC.Director!$A:$A,"&lt;="&amp;AD$61,ADC.Director!$D:$D,"&lt;"&amp;0)+sumifs('000'!$D:$D,'000'!$B:$B,$D71,'000'!$A:$A,"&gt;="&amp;AD$60,'000'!$A:$A,"&lt;="&amp;AD$61,'000'!$D:$D,"&lt;"&amp;0)+sumifs('500'!$D:$D,'500'!$B:$B,$D71,'500'!$A:$A,"&gt;="&amp;AD$60,'500'!$A:$A,"&lt;="&amp;AD$61,'500'!$D:$D,"&lt;"&amp;0)+sumifs('300'!$D:$D,'300'!$B:$B,$D71,'300'!$A:$A,"&gt;="&amp;AD$60,'300'!$A:$A,"&lt;="&amp;AD$61,'300'!$D:$D,"&lt;"&amp;0)+sumifs('600.VPA'!$D:$D,'600.VPA'!$B:$B,$D71,'600.VPA'!$A:$A,"&gt;="&amp;AD$60,'600.VPA'!$A:$A,"&lt;="&amp;AD$61,'600.VPA'!$D:$D,"&lt;"&amp;0)</f>
        <v>0</v>
      </c>
      <c r="AE71" s="149">
        <f>sumifs(Boss!$D:$D,Boss!$B:$B,$D71,Boss!$A:$A,"&gt;="&amp;AE$60,Boss!$A:$A,"&lt;="&amp;AE$61,Boss!$D:$D,"&gt;"&amp;0)+sumifs(VPA.Director!$D:$D,VPA.Director!$B:$B,$D71,VPA.Director!$A:$A,"&gt;="&amp;AE$60,VPA.Director!$A:$A,"&lt;="&amp;AE$61,VPA.Director!$D:$D,"&gt;"&amp;0)+sumifs(ADC.Director!$D:$D,ADC.Director!$B:$B,$D71,ADC.Director!$A:$A,"&gt;="&amp;AE$60,ADC.Director!$A:$A,"&lt;="&amp;AE$61,ADC.Director!$D:$D,"&gt;"&amp;0)+sumifs('000'!$D:$D,'000'!$B:$B,$D71,'000'!$A:$A,"&gt;="&amp;AE$60,'000'!$A:$A,"&lt;="&amp;AE$61,'000'!$D:$D,"&gt;"&amp;0)+sumifs('500'!$D:$D,'500'!$B:$B,$D71,'500'!$A:$A,"&gt;="&amp;AE$60,'500'!$A:$A,"&lt;="&amp;AE$60,'500'!$D:$D,"&gt;"&amp;0)+sumifs('300'!$D:$D,'300'!$B:$B,$D71,'300'!$A:$A,"&gt;="&amp;AE$60,'300'!$A:$A,"&lt;="&amp;AE$61,'300'!$D:$D,"&gt;"&amp;0)+sumifs('600.VPA'!$D:$D,'600.VPA'!$B:$B,$D71,'600.VPA'!$A:$A,"&gt;="&amp;AE$60,'600.VPA'!$A:$A,"&lt;="&amp;AE$61,'600.VPA'!$D:$D,"&gt;"&amp;0)</f>
        <v>0</v>
      </c>
      <c r="AF71" s="148">
        <f>sumifs(Boss!$D:$D,Boss!$B:$B,$D71,Boss!$A:$A,"&gt;="&amp;AF$60,Boss!$A:$A,"&lt;="&amp;AF$61,Boss!$D:$D,"&lt;"&amp;0)+sumifs(VPA.Director!$D:$D,VPA.Director!$B:$B,$D71,VPA.Director!$A:$A,"&gt;="&amp;AF$60,VPA.Director!$A:$A,"&lt;="&amp;AF$61,VPA.Director!$D:$D,"&lt;"&amp;0)+sumifs(ADC.Director!$D:$D,ADC.Director!$B:$B,$D71,ADC.Director!$A:$A,"&gt;="&amp;AF$60,ADC.Director!$A:$A,"&lt;="&amp;AF$61,ADC.Director!$D:$D,"&lt;"&amp;0)+sumifs('000'!$D:$D,'000'!$B:$B,$D71,'000'!$A:$A,"&gt;="&amp;AF$60,'000'!$A:$A,"&lt;="&amp;AF$61,'000'!$D:$D,"&lt;"&amp;0)+sumifs('500'!$D:$D,'500'!$B:$B,$D71,'500'!$A:$A,"&gt;="&amp;AF$60,'500'!$A:$A,"&lt;="&amp;AF$61,'500'!$D:$D,"&lt;"&amp;0)+sumifs('300'!$D:$D,'300'!$B:$B,$D71,'300'!$A:$A,"&gt;="&amp;AF$60,'300'!$A:$A,"&lt;="&amp;AF$61,'300'!$D:$D,"&lt;"&amp;0)+sumifs('600.VPA'!$D:$D,'600.VPA'!$B:$B,$D71,'600.VPA'!$A:$A,"&gt;="&amp;AF$60,'600.VPA'!$A:$A,"&lt;="&amp;AF$61,'600.VPA'!$D:$D,"&lt;"&amp;0)</f>
        <v>0</v>
      </c>
      <c r="AG71" s="149">
        <f>sumifs(Boss!$D:$D,Boss!$B:$B,$D71,Boss!$A:$A,"&gt;="&amp;AG$60,Boss!$A:$A,"&lt;="&amp;AG$61,Boss!$D:$D,"&gt;"&amp;0)+sumifs(VPA.Director!$D:$D,VPA.Director!$B:$B,$D71,VPA.Director!$A:$A,"&gt;="&amp;AG$60,VPA.Director!$A:$A,"&lt;="&amp;AG$61,VPA.Director!$D:$D,"&gt;"&amp;0)+sumifs(ADC.Director!$D:$D,ADC.Director!$B:$B,$D71,ADC.Director!$A:$A,"&gt;="&amp;AG$60,ADC.Director!$A:$A,"&lt;="&amp;AG$61,ADC.Director!$D:$D,"&gt;"&amp;0)+sumifs('000'!$D:$D,'000'!$B:$B,$D71,'000'!$A:$A,"&gt;="&amp;AG$60,'000'!$A:$A,"&lt;="&amp;AG$61,'000'!$D:$D,"&gt;"&amp;0)+sumifs('500'!$D:$D,'500'!$B:$B,$D71,'500'!$A:$A,"&gt;="&amp;AG$60,'500'!$A:$A,"&lt;="&amp;AG$60,'500'!$D:$D,"&gt;"&amp;0)+sumifs('300'!$D:$D,'300'!$B:$B,$D71,'300'!$A:$A,"&gt;="&amp;AG$60,'300'!$A:$A,"&lt;="&amp;AG$61,'300'!$D:$D,"&gt;"&amp;0)+sumifs('600.VPA'!$D:$D,'600.VPA'!$B:$B,$D71,'600.VPA'!$A:$A,"&gt;="&amp;AG$60,'600.VPA'!$A:$A,"&lt;="&amp;AG$61,'600.VPA'!$D:$D,"&gt;"&amp;0)</f>
        <v>0</v>
      </c>
      <c r="AH71" s="150">
        <f t="shared" ref="AH71:AI71" si="10">sum(I71,K71,M71,O71,Q71,S71,V71,X71,Z71,AB71,AD71,AF71)</f>
        <v>0</v>
      </c>
      <c r="AI71" s="151">
        <f t="shared" si="10"/>
        <v>0</v>
      </c>
      <c r="AJ71" s="150">
        <f t="shared" si="4"/>
        <v>0</v>
      </c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</row>
    <row r="72">
      <c r="A72" s="86"/>
      <c r="B72" s="144"/>
      <c r="D72" s="146" t="s">
        <v>65</v>
      </c>
      <c r="E72" s="147" t="s">
        <v>12</v>
      </c>
      <c r="F72" s="146" t="s">
        <v>144</v>
      </c>
      <c r="G72" s="146" t="s">
        <v>67</v>
      </c>
      <c r="H72" s="146" t="s">
        <v>68</v>
      </c>
      <c r="I72" s="148">
        <f>sumifs(Boss!$D:$D,Boss!$B:$B,$D72,Boss!$A:$A,"&gt;="&amp;I$60,Boss!$A:$A,"&lt;="&amp;I$61,Boss!$D:$D,"&lt;"&amp;0)+sumifs(VPA.Director!$D:$D,VPA.Director!$B:$B,$D72,VPA.Director!$A:$A,"&gt;="&amp;I$60,VPA.Director!$A:$A,"&lt;="&amp;I$61,VPA.Director!$D:$D,"&lt;"&amp;0)+sumifs(ADC.Director!$D:$D,ADC.Director!$B:$B,$D72,ADC.Director!$A:$A,"&gt;="&amp;I$60,ADC.Director!$A:$A,"&lt;="&amp;I$61,ADC.Director!$D:$D,"&lt;"&amp;0)+sumifs('000'!$D:$D,'000'!$B:$B,$D72,'000'!$A:$A,"&gt;="&amp;I$60,'000'!$A:$A,"&lt;="&amp;I$61,'000'!$D:$D,"&lt;"&amp;0)+sumifs('500'!$D:$D,'500'!$B:$B,$D72,'500'!$A:$A,"&gt;="&amp;I$60,'500'!$A:$A,"&lt;="&amp;I$61,'500'!$D:$D,"&lt;"&amp;0)+sumifs('300'!$D:$D,'300'!$B:$B,$D72,'300'!$A:$A,"&gt;="&amp;I$60,'300'!$A:$A,"&lt;="&amp;I$61,'300'!$D:$D,"&lt;"&amp;0)+sumifs('600.VPA'!$D:$D,'600.VPA'!$B:$B,$D72,'600.VPA'!$A:$A,"&gt;="&amp;I$60,'600.VPA'!$A:$A,"&lt;="&amp;I$61,'600.VPA'!$D:$D,"&lt;"&amp;0)</f>
        <v>0</v>
      </c>
      <c r="J72" s="149">
        <f>sumifs(Boss!$D:$D,Boss!$B:$B,$D72,Boss!$A:$A,"&gt;="&amp;J$60,Boss!$A:$A,"&lt;="&amp;J$61,Boss!$D:$D,"&gt;"&amp;0)+sumifs(VPA.Director!$D:$D,VPA.Director!$B:$B,$D72,VPA.Director!$A:$A,"&gt;="&amp;J$60,VPA.Director!$A:$A,"&lt;="&amp;J$61,VPA.Director!$D:$D,"&gt;"&amp;0)+sumifs(ADC.Director!$D:$D,ADC.Director!$B:$B,$D72,ADC.Director!$A:$A,"&gt;="&amp;J$60,ADC.Director!$A:$A,"&lt;="&amp;J$61,ADC.Director!$D:$D,"&gt;"&amp;0)+sumifs('000'!$D:$D,'000'!$B:$B,$D72,'000'!$A:$A,"&gt;="&amp;J$60,'000'!$A:$A,"&lt;="&amp;J$61,'000'!$D:$D,"&gt;"&amp;0)+sumifs('500'!$D:$D,'500'!$B:$B,$D72,'500'!$A:$A,"&gt;="&amp;J$60,'500'!$A:$A,"&lt;="&amp;J$60,'500'!$D:$D,"&gt;"&amp;0)+sumifs('300'!$D:$D,'300'!$B:$B,$D72,'300'!$A:$A,"&gt;="&amp;J$60,'300'!$A:$A,"&lt;="&amp;J$61,'300'!$D:$D,"&gt;"&amp;0)+sumifs('600.VPA'!$D:$D,'600.VPA'!$B:$B,$D72,'600.VPA'!$A:$A,"&gt;="&amp;J$60,'600.VPA'!$A:$A,"&lt;="&amp;J$61,'600.VPA'!$D:$D,"&gt;"&amp;0)</f>
        <v>0</v>
      </c>
      <c r="K72" s="148">
        <f>sumifs(Boss!$D:$D,Boss!$B:$B,$D72,Boss!$A:$A,"&gt;="&amp;K$60,Boss!$A:$A,"&lt;="&amp;K$61,Boss!$D:$D,"&lt;"&amp;0)+sumifs(VPA.Director!$D:$D,VPA.Director!$B:$B,$D72,VPA.Director!$A:$A,"&gt;="&amp;K$60,VPA.Director!$A:$A,"&lt;="&amp;K$61,VPA.Director!$D:$D,"&lt;"&amp;0)+sumifs(ADC.Director!$D:$D,ADC.Director!$B:$B,$D72,ADC.Director!$A:$A,"&gt;="&amp;K$60,ADC.Director!$A:$A,"&lt;="&amp;K$61,ADC.Director!$D:$D,"&lt;"&amp;0)+sumifs('000'!$D:$D,'000'!$B:$B,$D72,'000'!$A:$A,"&gt;="&amp;K$60,'000'!$A:$A,"&lt;="&amp;K$61,'000'!$D:$D,"&lt;"&amp;0)+sumifs('500'!$D:$D,'500'!$B:$B,$D72,'500'!$A:$A,"&gt;="&amp;K$60,'500'!$A:$A,"&lt;="&amp;K$61,'500'!$D:$D,"&lt;"&amp;0)+sumifs('300'!$D:$D,'300'!$B:$B,$D72,'300'!$A:$A,"&gt;="&amp;K$60,'300'!$A:$A,"&lt;="&amp;K$61,'300'!$D:$D,"&lt;"&amp;0)+sumifs('600.VPA'!$D:$D,'600.VPA'!$B:$B,$D72,'600.VPA'!$A:$A,"&gt;="&amp;K$60,'600.VPA'!$A:$A,"&lt;="&amp;K$61,'600.VPA'!$D:$D,"&lt;"&amp;0)</f>
        <v>0</v>
      </c>
      <c r="L72" s="149">
        <f>sumifs(Boss!$D:$D,Boss!$B:$B,$D72,Boss!$A:$A,"&gt;="&amp;L$60,Boss!$A:$A,"&lt;="&amp;L$61,Boss!$D:$D,"&gt;"&amp;0)+sumifs(VPA.Director!$D:$D,VPA.Director!$B:$B,$D72,VPA.Director!$A:$A,"&gt;="&amp;L$60,VPA.Director!$A:$A,"&lt;="&amp;L$61,VPA.Director!$D:$D,"&gt;"&amp;0)+sumifs(ADC.Director!$D:$D,ADC.Director!$B:$B,$D72,ADC.Director!$A:$A,"&gt;="&amp;L$60,ADC.Director!$A:$A,"&lt;="&amp;L$61,ADC.Director!$D:$D,"&gt;"&amp;0)+sumifs('000'!$D:$D,'000'!$B:$B,$D72,'000'!$A:$A,"&gt;="&amp;L$60,'000'!$A:$A,"&lt;="&amp;L$61,'000'!$D:$D,"&gt;"&amp;0)+sumifs('500'!$D:$D,'500'!$B:$B,$D72,'500'!$A:$A,"&gt;="&amp;L$60,'500'!$A:$A,"&lt;="&amp;L$60,'500'!$D:$D,"&gt;"&amp;0)+sumifs('300'!$D:$D,'300'!$B:$B,$D72,'300'!$A:$A,"&gt;="&amp;L$60,'300'!$A:$A,"&lt;="&amp;L$61,'300'!$D:$D,"&gt;"&amp;0)+sumifs('600.VPA'!$D:$D,'600.VPA'!$B:$B,$D72,'600.VPA'!$A:$A,"&gt;="&amp;L$60,'600.VPA'!$A:$A,"&lt;="&amp;L$61,'600.VPA'!$D:$D,"&gt;"&amp;0)</f>
        <v>0</v>
      </c>
      <c r="M72" s="148">
        <f>sumifs(Boss!$D:$D,Boss!$B:$B,$D72,Boss!$A:$A,"&gt;="&amp;M$60,Boss!$A:$A,"&lt;="&amp;M$61,Boss!$D:$D,"&lt;"&amp;0)+sumifs(VPA.Director!$D:$D,VPA.Director!$B:$B,$D72,VPA.Director!$A:$A,"&gt;="&amp;M$60,VPA.Director!$A:$A,"&lt;="&amp;M$61,VPA.Director!$D:$D,"&lt;"&amp;0)+sumifs(ADC.Director!$D:$D,ADC.Director!$B:$B,$D72,ADC.Director!$A:$A,"&gt;="&amp;M$60,ADC.Director!$A:$A,"&lt;="&amp;M$61,ADC.Director!$D:$D,"&lt;"&amp;0)+sumifs('000'!$D:$D,'000'!$B:$B,$D72,'000'!$A:$A,"&gt;="&amp;M$60,'000'!$A:$A,"&lt;="&amp;M$61,'000'!$D:$D,"&lt;"&amp;0)+sumifs('500'!$D:$D,'500'!$B:$B,$D72,'500'!$A:$A,"&gt;="&amp;M$60,'500'!$A:$A,"&lt;="&amp;M$61,'500'!$D:$D,"&lt;"&amp;0)+sumifs('300'!$D:$D,'300'!$B:$B,$D72,'300'!$A:$A,"&gt;="&amp;M$60,'300'!$A:$A,"&lt;="&amp;M$61,'300'!$D:$D,"&lt;"&amp;0)+sumifs('600.VPA'!$D:$D,'600.VPA'!$B:$B,$D72,'600.VPA'!$A:$A,"&gt;="&amp;M$60,'600.VPA'!$A:$A,"&lt;="&amp;M$61,'600.VPA'!$D:$D,"&lt;"&amp;0)</f>
        <v>0</v>
      </c>
      <c r="N72" s="149">
        <f>sumifs(Boss!$D:$D,Boss!$B:$B,$D72,Boss!$A:$A,"&gt;="&amp;N$60,Boss!$A:$A,"&lt;="&amp;N$61,Boss!$D:$D,"&gt;"&amp;0)+sumifs(VPA.Director!$D:$D,VPA.Director!$B:$B,$D72,VPA.Director!$A:$A,"&gt;="&amp;N$60,VPA.Director!$A:$A,"&lt;="&amp;N$61,VPA.Director!$D:$D,"&gt;"&amp;0)+sumifs(ADC.Director!$D:$D,ADC.Director!$B:$B,$D72,ADC.Director!$A:$A,"&gt;="&amp;N$60,ADC.Director!$A:$A,"&lt;="&amp;N$61,ADC.Director!$D:$D,"&gt;"&amp;0)+sumifs('000'!$D:$D,'000'!$B:$B,$D72,'000'!$A:$A,"&gt;="&amp;N$60,'000'!$A:$A,"&lt;="&amp;N$61,'000'!$D:$D,"&gt;"&amp;0)+sumifs('500'!$D:$D,'500'!$B:$B,$D72,'500'!$A:$A,"&gt;="&amp;N$60,'500'!$A:$A,"&lt;="&amp;N$60,'500'!$D:$D,"&gt;"&amp;0)+sumifs('300'!$D:$D,'300'!$B:$B,$D72,'300'!$A:$A,"&gt;="&amp;N$60,'300'!$A:$A,"&lt;="&amp;N$61,'300'!$D:$D,"&gt;"&amp;0)+sumifs('600.VPA'!$D:$D,'600.VPA'!$B:$B,$D72,'600.VPA'!$A:$A,"&gt;="&amp;N$60,'600.VPA'!$A:$A,"&lt;="&amp;N$61,'600.VPA'!$D:$D,"&gt;"&amp;0)</f>
        <v>0</v>
      </c>
      <c r="O72" s="148">
        <f>sumifs(Boss!$D:$D,Boss!$B:$B,$D72,Boss!$A:$A,"&gt;="&amp;O$60,Boss!$A:$A,"&lt;="&amp;O$61,Boss!$D:$D,"&lt;"&amp;0)+sumifs(VPA.Director!$D:$D,VPA.Director!$B:$B,$D72,VPA.Director!$A:$A,"&gt;="&amp;O$60,VPA.Director!$A:$A,"&lt;="&amp;O$61,VPA.Director!$D:$D,"&lt;"&amp;0)+sumifs(ADC.Director!$D:$D,ADC.Director!$B:$B,$D72,ADC.Director!$A:$A,"&gt;="&amp;O$60,ADC.Director!$A:$A,"&lt;="&amp;O$61,ADC.Director!$D:$D,"&lt;"&amp;0)+sumifs('000'!$D:$D,'000'!$B:$B,$D72,'000'!$A:$A,"&gt;="&amp;O$60,'000'!$A:$A,"&lt;="&amp;O$61,'000'!$D:$D,"&lt;"&amp;0)+sumifs('500'!$D:$D,'500'!$B:$B,$D72,'500'!$A:$A,"&gt;="&amp;O$60,'500'!$A:$A,"&lt;="&amp;O$61,'500'!$D:$D,"&lt;"&amp;0)+sumifs('300'!$D:$D,'300'!$B:$B,$D72,'300'!$A:$A,"&gt;="&amp;O$60,'300'!$A:$A,"&lt;="&amp;O$61,'300'!$D:$D,"&lt;"&amp;0)+sumifs('600.VPA'!$D:$D,'600.VPA'!$B:$B,$D72,'600.VPA'!$A:$A,"&gt;="&amp;O$60,'600.VPA'!$A:$A,"&lt;="&amp;O$61,'600.VPA'!$D:$D,"&lt;"&amp;0)</f>
        <v>0</v>
      </c>
      <c r="P72" s="149">
        <f>sumifs(Boss!$D:$D,Boss!$B:$B,$D72,Boss!$A:$A,"&gt;="&amp;P$60,Boss!$A:$A,"&lt;="&amp;P$61,Boss!$D:$D,"&gt;"&amp;0)+sumifs(VPA.Director!$D:$D,VPA.Director!$B:$B,$D72,VPA.Director!$A:$A,"&gt;="&amp;P$60,VPA.Director!$A:$A,"&lt;="&amp;P$61,VPA.Director!$D:$D,"&gt;"&amp;0)+sumifs(ADC.Director!$D:$D,ADC.Director!$B:$B,$D72,ADC.Director!$A:$A,"&gt;="&amp;P$60,ADC.Director!$A:$A,"&lt;="&amp;P$61,ADC.Director!$D:$D,"&gt;"&amp;0)+sumifs('000'!$D:$D,'000'!$B:$B,$D72,'000'!$A:$A,"&gt;="&amp;P$60,'000'!$A:$A,"&lt;="&amp;P$61,'000'!$D:$D,"&gt;"&amp;0)+sumifs('500'!$D:$D,'500'!$B:$B,$D72,'500'!$A:$A,"&gt;="&amp;P$60,'500'!$A:$A,"&lt;="&amp;P$60,'500'!$D:$D,"&gt;"&amp;0)+sumifs('300'!$D:$D,'300'!$B:$B,$D72,'300'!$A:$A,"&gt;="&amp;P$60,'300'!$A:$A,"&lt;="&amp;P$61,'300'!$D:$D,"&gt;"&amp;0)+sumifs('600.VPA'!$D:$D,'600.VPA'!$B:$B,$D72,'600.VPA'!$A:$A,"&gt;="&amp;P$60,'600.VPA'!$A:$A,"&lt;="&amp;P$61,'600.VPA'!$D:$D,"&gt;"&amp;0)</f>
        <v>0</v>
      </c>
      <c r="Q72" s="148">
        <f>sumifs(Boss!$D:$D,Boss!$B:$B,$D72,Boss!$A:$A,"&gt;="&amp;Q$60,Boss!$A:$A,"&lt;="&amp;Q$61,Boss!$D:$D,"&lt;"&amp;0)+sumifs(VPA.Director!$D:$D,VPA.Director!$B:$B,$D72,VPA.Director!$A:$A,"&gt;="&amp;Q$60,VPA.Director!$A:$A,"&lt;="&amp;Q$61,VPA.Director!$D:$D,"&lt;"&amp;0)+sumifs(ADC.Director!$D:$D,ADC.Director!$B:$B,$D72,ADC.Director!$A:$A,"&gt;="&amp;Q$60,ADC.Director!$A:$A,"&lt;="&amp;Q$61,ADC.Director!$D:$D,"&lt;"&amp;0)+sumifs('000'!$D:$D,'000'!$B:$B,$D72,'000'!$A:$A,"&gt;="&amp;Q$60,'000'!$A:$A,"&lt;="&amp;Q$61,'000'!$D:$D,"&lt;"&amp;0)+sumifs('500'!$D:$D,'500'!$B:$B,$D72,'500'!$A:$A,"&gt;="&amp;Q$60,'500'!$A:$A,"&lt;="&amp;Q$61,'500'!$D:$D,"&lt;"&amp;0)+sumifs('300'!$D:$D,'300'!$B:$B,$D72,'300'!$A:$A,"&gt;="&amp;Q$60,'300'!$A:$A,"&lt;="&amp;Q$61,'300'!$D:$D,"&lt;"&amp;0)+sumifs('600.VPA'!$D:$D,'600.VPA'!$B:$B,$D72,'600.VPA'!$A:$A,"&gt;="&amp;Q$60,'600.VPA'!$A:$A,"&lt;="&amp;Q$61,'600.VPA'!$D:$D,"&lt;"&amp;0)</f>
        <v>0</v>
      </c>
      <c r="R72" s="149">
        <f>sumifs(Boss!$D:$D,Boss!$B:$B,$D72,Boss!$A:$A,"&gt;="&amp;R$60,Boss!$A:$A,"&lt;="&amp;R$61,Boss!$D:$D,"&gt;"&amp;0)+sumifs(VPA.Director!$D:$D,VPA.Director!$B:$B,$D72,VPA.Director!$A:$A,"&gt;="&amp;R$60,VPA.Director!$A:$A,"&lt;="&amp;R$61,VPA.Director!$D:$D,"&gt;"&amp;0)+sumifs(ADC.Director!$D:$D,ADC.Director!$B:$B,$D72,ADC.Director!$A:$A,"&gt;="&amp;R$60,ADC.Director!$A:$A,"&lt;="&amp;R$61,ADC.Director!$D:$D,"&gt;"&amp;0)+sumifs('000'!$D:$D,'000'!$B:$B,$D72,'000'!$A:$A,"&gt;="&amp;R$60,'000'!$A:$A,"&lt;="&amp;R$61,'000'!$D:$D,"&gt;"&amp;0)+sumifs('500'!$D:$D,'500'!$B:$B,$D72,'500'!$A:$A,"&gt;="&amp;R$60,'500'!$A:$A,"&lt;="&amp;R$60,'500'!$D:$D,"&gt;"&amp;0)+sumifs('300'!$D:$D,'300'!$B:$B,$D72,'300'!$A:$A,"&gt;="&amp;R$60,'300'!$A:$A,"&lt;="&amp;R$61,'300'!$D:$D,"&gt;"&amp;0)+sumifs('600.VPA'!$D:$D,'600.VPA'!$B:$B,$D72,'600.VPA'!$A:$A,"&gt;="&amp;R$60,'600.VPA'!$A:$A,"&lt;="&amp;R$61,'600.VPA'!$D:$D,"&gt;"&amp;0)</f>
        <v>0</v>
      </c>
      <c r="S72" s="148">
        <f>sumifs(Boss!$D:$D,Boss!$B:$B,$D72,Boss!$A:$A,"&gt;="&amp;S$60,Boss!$A:$A,"&lt;="&amp;S$61,Boss!$D:$D,"&lt;"&amp;0)+sumifs(VPA.Director!$D:$D,VPA.Director!$B:$B,$D72,VPA.Director!$A:$A,"&gt;="&amp;S$60,VPA.Director!$A:$A,"&lt;="&amp;S$61,VPA.Director!$D:$D,"&lt;"&amp;0)+sumifs(ADC.Director!$D:$D,ADC.Director!$B:$B,$D72,ADC.Director!$A:$A,"&gt;="&amp;S$60,ADC.Director!$A:$A,"&lt;="&amp;S$61,ADC.Director!$D:$D,"&lt;"&amp;0)+sumifs('000'!$D:$D,'000'!$B:$B,$D72,'000'!$A:$A,"&gt;="&amp;S$60,'000'!$A:$A,"&lt;="&amp;S$61,'000'!$D:$D,"&lt;"&amp;0)+sumifs('500'!$D:$D,'500'!$B:$B,$D72,'500'!$A:$A,"&gt;="&amp;S$60,'500'!$A:$A,"&lt;="&amp;S$61,'500'!$D:$D,"&lt;"&amp;0)+sumifs('300'!$D:$D,'300'!$B:$B,$D72,'300'!$A:$A,"&gt;="&amp;S$60,'300'!$A:$A,"&lt;="&amp;S$61,'300'!$D:$D,"&lt;"&amp;0)+sumifs('600.VPA'!$D:$D,'600.VPA'!$B:$B,$D72,'600.VPA'!$A:$A,"&gt;="&amp;S$60,'600.VPA'!$A:$A,"&lt;="&amp;S$61,'600.VPA'!$D:$D,"&lt;"&amp;0)</f>
        <v>0</v>
      </c>
      <c r="T72" s="149">
        <f>sumifs(Boss!$D:$D,Boss!$B:$B,$D72,Boss!$A:$A,"&gt;="&amp;T$60,Boss!$A:$A,"&lt;="&amp;T$61,Boss!$D:$D,"&gt;"&amp;0)+sumifs(VPA.Director!$D:$D,VPA.Director!$B:$B,$D72,VPA.Director!$A:$A,"&gt;="&amp;T$60,VPA.Director!$A:$A,"&lt;="&amp;T$61,VPA.Director!$D:$D,"&gt;"&amp;0)+sumifs(ADC.Director!$D:$D,ADC.Director!$B:$B,$D72,ADC.Director!$A:$A,"&gt;="&amp;T$60,ADC.Director!$A:$A,"&lt;="&amp;T$61,ADC.Director!$D:$D,"&gt;"&amp;0)+sumifs('000'!$D:$D,'000'!$B:$B,$D72,'000'!$A:$A,"&gt;="&amp;T$60,'000'!$A:$A,"&lt;="&amp;T$61,'000'!$D:$D,"&gt;"&amp;0)+sumifs('500'!$D:$D,'500'!$B:$B,$D72,'500'!$A:$A,"&gt;="&amp;T$60,'500'!$A:$A,"&lt;="&amp;T$60,'500'!$D:$D,"&gt;"&amp;0)+sumifs('300'!$D:$D,'300'!$B:$B,$D72,'300'!$A:$A,"&gt;="&amp;T$60,'300'!$A:$A,"&lt;="&amp;T$61,'300'!$D:$D,"&gt;"&amp;0)+sumifs('600.VPA'!$D:$D,'600.VPA'!$B:$B,$D72,'600.VPA'!$A:$A,"&gt;="&amp;T$60,'600.VPA'!$A:$A,"&lt;="&amp;T$61,'600.VPA'!$D:$D,"&gt;"&amp;0)</f>
        <v>0</v>
      </c>
      <c r="U72" s="144"/>
      <c r="V72" s="148">
        <f>sumifs(Boss!$D:$D,Boss!$B:$B,$D72,Boss!$A:$A,"&gt;="&amp;V$60,Boss!$A:$A,"&lt;="&amp;V$61,Boss!$D:$D,"&lt;"&amp;0)+sumifs(VPA.Director!$D:$D,VPA.Director!$B:$B,$D72,VPA.Director!$A:$A,"&gt;="&amp;V$60,VPA.Director!$A:$A,"&lt;="&amp;V$61,VPA.Director!$D:$D,"&lt;"&amp;0)+sumifs(ADC.Director!$D:$D,ADC.Director!$B:$B,$D72,ADC.Director!$A:$A,"&gt;="&amp;V$60,ADC.Director!$A:$A,"&lt;="&amp;V$61,ADC.Director!$D:$D,"&lt;"&amp;0)+sumifs('000'!$D:$D,'000'!$B:$B,$D72,'000'!$A:$A,"&gt;="&amp;V$60,'000'!$A:$A,"&lt;="&amp;V$61,'000'!$D:$D,"&lt;"&amp;0)+sumifs('500'!$D:$D,'500'!$B:$B,$D72,'500'!$A:$A,"&gt;="&amp;V$60,'500'!$A:$A,"&lt;="&amp;V$61,'500'!$D:$D,"&lt;"&amp;0)+sumifs('300'!$D:$D,'300'!$B:$B,$D72,'300'!$A:$A,"&gt;="&amp;V$60,'300'!$A:$A,"&lt;="&amp;V$61,'300'!$D:$D,"&lt;"&amp;0)+sumifs('600.VPA'!$D:$D,'600.VPA'!$B:$B,$D72,'600.VPA'!$A:$A,"&gt;="&amp;V$60,'600.VPA'!$A:$A,"&lt;="&amp;V$61,'600.VPA'!$D:$D,"&lt;"&amp;0)</f>
        <v>0</v>
      </c>
      <c r="W72" s="149">
        <f>sumifs(Boss!$D:$D,Boss!$B:$B,$D72,Boss!$A:$A,"&gt;="&amp;W$60,Boss!$A:$A,"&lt;="&amp;W$61,Boss!$D:$D,"&gt;"&amp;0)+sumifs(VPA.Director!$D:$D,VPA.Director!$B:$B,$D72,VPA.Director!$A:$A,"&gt;="&amp;W$60,VPA.Director!$A:$A,"&lt;="&amp;W$61,VPA.Director!$D:$D,"&gt;"&amp;0)+sumifs(ADC.Director!$D:$D,ADC.Director!$B:$B,$D72,ADC.Director!$A:$A,"&gt;="&amp;W$60,ADC.Director!$A:$A,"&lt;="&amp;W$61,ADC.Director!$D:$D,"&gt;"&amp;0)+sumifs('000'!$D:$D,'000'!$B:$B,$D72,'000'!$A:$A,"&gt;="&amp;W$60,'000'!$A:$A,"&lt;="&amp;W$61,'000'!$D:$D,"&gt;"&amp;0)+sumifs('500'!$D:$D,'500'!$B:$B,$D72,'500'!$A:$A,"&gt;="&amp;W$60,'500'!$A:$A,"&lt;="&amp;W$60,'500'!$D:$D,"&gt;"&amp;0)+sumifs('300'!$D:$D,'300'!$B:$B,$D72,'300'!$A:$A,"&gt;="&amp;W$60,'300'!$A:$A,"&lt;="&amp;W$61,'300'!$D:$D,"&gt;"&amp;0)+sumifs('600.VPA'!$D:$D,'600.VPA'!$B:$B,$D72,'600.VPA'!$A:$A,"&gt;="&amp;W$60,'600.VPA'!$A:$A,"&lt;="&amp;W$61,'600.VPA'!$D:$D,"&gt;"&amp;0)</f>
        <v>0</v>
      </c>
      <c r="X72" s="148">
        <f>sumifs(Boss!$D:$D,Boss!$B:$B,$D72,Boss!$A:$A,"&gt;="&amp;X$60,Boss!$A:$A,"&lt;="&amp;X$61,Boss!$D:$D,"&lt;"&amp;0)+sumifs(VPA.Director!$D:$D,VPA.Director!$B:$B,$D72,VPA.Director!$A:$A,"&gt;="&amp;X$60,VPA.Director!$A:$A,"&lt;="&amp;X$61,VPA.Director!$D:$D,"&lt;"&amp;0)+sumifs(ADC.Director!$D:$D,ADC.Director!$B:$B,$D72,ADC.Director!$A:$A,"&gt;="&amp;X$60,ADC.Director!$A:$A,"&lt;="&amp;X$61,ADC.Director!$D:$D,"&lt;"&amp;0)+sumifs('000'!$D:$D,'000'!$B:$B,$D72,'000'!$A:$A,"&gt;="&amp;X$60,'000'!$A:$A,"&lt;="&amp;X$61,'000'!$D:$D,"&lt;"&amp;0)+sumifs('500'!$D:$D,'500'!$B:$B,$D72,'500'!$A:$A,"&gt;="&amp;X$60,'500'!$A:$A,"&lt;="&amp;X$61,'500'!$D:$D,"&lt;"&amp;0)+sumifs('300'!$D:$D,'300'!$B:$B,$D72,'300'!$A:$A,"&gt;="&amp;X$60,'300'!$A:$A,"&lt;="&amp;X$61,'300'!$D:$D,"&lt;"&amp;0)+sumifs('600.VPA'!$D:$D,'600.VPA'!$B:$B,$D72,'600.VPA'!$A:$A,"&gt;="&amp;X$60,'600.VPA'!$A:$A,"&lt;="&amp;X$61,'600.VPA'!$D:$D,"&lt;"&amp;0)</f>
        <v>0</v>
      </c>
      <c r="Y72" s="149">
        <f>sumifs(Boss!$D:$D,Boss!$B:$B,$D72,Boss!$A:$A,"&gt;="&amp;Y$60,Boss!$A:$A,"&lt;="&amp;Y$61,Boss!$D:$D,"&gt;"&amp;0)+sumifs(VPA.Director!$D:$D,VPA.Director!$B:$B,$D72,VPA.Director!$A:$A,"&gt;="&amp;Y$60,VPA.Director!$A:$A,"&lt;="&amp;Y$61,VPA.Director!$D:$D,"&gt;"&amp;0)+sumifs(ADC.Director!$D:$D,ADC.Director!$B:$B,$D72,ADC.Director!$A:$A,"&gt;="&amp;Y$60,ADC.Director!$A:$A,"&lt;="&amp;Y$61,ADC.Director!$D:$D,"&gt;"&amp;0)+sumifs('000'!$D:$D,'000'!$B:$B,$D72,'000'!$A:$A,"&gt;="&amp;Y$60,'000'!$A:$A,"&lt;="&amp;Y$61,'000'!$D:$D,"&gt;"&amp;0)+sumifs('500'!$D:$D,'500'!$B:$B,$D72,'500'!$A:$A,"&gt;="&amp;Y$60,'500'!$A:$A,"&lt;="&amp;Y$60,'500'!$D:$D,"&gt;"&amp;0)+sumifs('300'!$D:$D,'300'!$B:$B,$D72,'300'!$A:$A,"&gt;="&amp;Y$60,'300'!$A:$A,"&lt;="&amp;Y$61,'300'!$D:$D,"&gt;"&amp;0)+sumifs('600.VPA'!$D:$D,'600.VPA'!$B:$B,$D72,'600.VPA'!$A:$A,"&gt;="&amp;Y$60,'600.VPA'!$A:$A,"&lt;="&amp;Y$61,'600.VPA'!$D:$D,"&gt;"&amp;0)</f>
        <v>0</v>
      </c>
      <c r="Z72" s="148">
        <f>sumifs(Boss!$D:$D,Boss!$B:$B,$D72,Boss!$A:$A,"&gt;="&amp;Z$60,Boss!$A:$A,"&lt;="&amp;Z$61,Boss!$D:$D,"&lt;"&amp;0)+sumifs(VPA.Director!$D:$D,VPA.Director!$B:$B,$D72,VPA.Director!$A:$A,"&gt;="&amp;Z$60,VPA.Director!$A:$A,"&lt;="&amp;Z$61,VPA.Director!$D:$D,"&lt;"&amp;0)+sumifs(ADC.Director!$D:$D,ADC.Director!$B:$B,$D72,ADC.Director!$A:$A,"&gt;="&amp;Z$60,ADC.Director!$A:$A,"&lt;="&amp;Z$61,ADC.Director!$D:$D,"&lt;"&amp;0)+sumifs('000'!$D:$D,'000'!$B:$B,$D72,'000'!$A:$A,"&gt;="&amp;Z$60,'000'!$A:$A,"&lt;="&amp;Z$61,'000'!$D:$D,"&lt;"&amp;0)+sumifs('500'!$D:$D,'500'!$B:$B,$D72,'500'!$A:$A,"&gt;="&amp;Z$60,'500'!$A:$A,"&lt;="&amp;Z$61,'500'!$D:$D,"&lt;"&amp;0)+sumifs('300'!$D:$D,'300'!$B:$B,$D72,'300'!$A:$A,"&gt;="&amp;Z$60,'300'!$A:$A,"&lt;="&amp;Z$61,'300'!$D:$D,"&lt;"&amp;0)+sumifs('600.VPA'!$D:$D,'600.VPA'!$B:$B,$D72,'600.VPA'!$A:$A,"&gt;="&amp;Z$60,'600.VPA'!$A:$A,"&lt;="&amp;Z$61,'600.VPA'!$D:$D,"&lt;"&amp;0)</f>
        <v>0</v>
      </c>
      <c r="AA72" s="149">
        <f>sumifs(Boss!$D:$D,Boss!$B:$B,$D72,Boss!$A:$A,"&gt;="&amp;AA$60,Boss!$A:$A,"&lt;="&amp;AA$61,Boss!$D:$D,"&gt;"&amp;0)+sumifs(VPA.Director!$D:$D,VPA.Director!$B:$B,$D72,VPA.Director!$A:$A,"&gt;="&amp;AA$60,VPA.Director!$A:$A,"&lt;="&amp;AA$61,VPA.Director!$D:$D,"&gt;"&amp;0)+sumifs(ADC.Director!$D:$D,ADC.Director!$B:$B,$D72,ADC.Director!$A:$A,"&gt;="&amp;AA$60,ADC.Director!$A:$A,"&lt;="&amp;AA$61,ADC.Director!$D:$D,"&gt;"&amp;0)+sumifs('000'!$D:$D,'000'!$B:$B,$D72,'000'!$A:$A,"&gt;="&amp;AA$60,'000'!$A:$A,"&lt;="&amp;AA$61,'000'!$D:$D,"&gt;"&amp;0)+sumifs('500'!$D:$D,'500'!$B:$B,$D72,'500'!$A:$A,"&gt;="&amp;AA$60,'500'!$A:$A,"&lt;="&amp;AA$60,'500'!$D:$D,"&gt;"&amp;0)+sumifs('300'!$D:$D,'300'!$B:$B,$D72,'300'!$A:$A,"&gt;="&amp;AA$60,'300'!$A:$A,"&lt;="&amp;AA$61,'300'!$D:$D,"&gt;"&amp;0)+sumifs('600.VPA'!$D:$D,'600.VPA'!$B:$B,$D72,'600.VPA'!$A:$A,"&gt;="&amp;AA$60,'600.VPA'!$A:$A,"&lt;="&amp;AA$61,'600.VPA'!$D:$D,"&gt;"&amp;0)</f>
        <v>0</v>
      </c>
      <c r="AB72" s="148">
        <f>sumifs(Boss!$D:$D,Boss!$B:$B,$D72,Boss!$A:$A,"&gt;="&amp;AB$60,Boss!$A:$A,"&lt;="&amp;AB$61,Boss!$D:$D,"&lt;"&amp;0)+sumifs(VPA.Director!$D:$D,VPA.Director!$B:$B,$D72,VPA.Director!$A:$A,"&gt;="&amp;AB$60,VPA.Director!$A:$A,"&lt;="&amp;AB$61,VPA.Director!$D:$D,"&lt;"&amp;0)+sumifs(ADC.Director!$D:$D,ADC.Director!$B:$B,$D72,ADC.Director!$A:$A,"&gt;="&amp;AB$60,ADC.Director!$A:$A,"&lt;="&amp;AB$61,ADC.Director!$D:$D,"&lt;"&amp;0)+sumifs('000'!$D:$D,'000'!$B:$B,$D72,'000'!$A:$A,"&gt;="&amp;AB$60,'000'!$A:$A,"&lt;="&amp;AB$61,'000'!$D:$D,"&lt;"&amp;0)+sumifs('500'!$D:$D,'500'!$B:$B,$D72,'500'!$A:$A,"&gt;="&amp;AB$60,'500'!$A:$A,"&lt;="&amp;AB$61,'500'!$D:$D,"&lt;"&amp;0)+sumifs('300'!$D:$D,'300'!$B:$B,$D72,'300'!$A:$A,"&gt;="&amp;AB$60,'300'!$A:$A,"&lt;="&amp;AB$61,'300'!$D:$D,"&lt;"&amp;0)+sumifs('600.VPA'!$D:$D,'600.VPA'!$B:$B,$D72,'600.VPA'!$A:$A,"&gt;="&amp;AB$60,'600.VPA'!$A:$A,"&lt;="&amp;AB$61,'600.VPA'!$D:$D,"&lt;"&amp;0)</f>
        <v>0</v>
      </c>
      <c r="AC72" s="149">
        <f>sumifs(Boss!$D:$D,Boss!$B:$B,$D72,Boss!$A:$A,"&gt;="&amp;AC$60,Boss!$A:$A,"&lt;="&amp;AC$61,Boss!$D:$D,"&gt;"&amp;0)+sumifs(VPA.Director!$D:$D,VPA.Director!$B:$B,$D72,VPA.Director!$A:$A,"&gt;="&amp;AC$60,VPA.Director!$A:$A,"&lt;="&amp;AC$61,VPA.Director!$D:$D,"&gt;"&amp;0)+sumifs(ADC.Director!$D:$D,ADC.Director!$B:$B,$D72,ADC.Director!$A:$A,"&gt;="&amp;AC$60,ADC.Director!$A:$A,"&lt;="&amp;AC$61,ADC.Director!$D:$D,"&gt;"&amp;0)+sumifs('000'!$D:$D,'000'!$B:$B,$D72,'000'!$A:$A,"&gt;="&amp;AC$60,'000'!$A:$A,"&lt;="&amp;AC$61,'000'!$D:$D,"&gt;"&amp;0)+sumifs('500'!$D:$D,'500'!$B:$B,$D72,'500'!$A:$A,"&gt;="&amp;AC$60,'500'!$A:$A,"&lt;="&amp;AC$60,'500'!$D:$D,"&gt;"&amp;0)+sumifs('300'!$D:$D,'300'!$B:$B,$D72,'300'!$A:$A,"&gt;="&amp;AC$60,'300'!$A:$A,"&lt;="&amp;AC$61,'300'!$D:$D,"&gt;"&amp;0)+sumifs('600.VPA'!$D:$D,'600.VPA'!$B:$B,$D72,'600.VPA'!$A:$A,"&gt;="&amp;AC$60,'600.VPA'!$A:$A,"&lt;="&amp;AC$61,'600.VPA'!$D:$D,"&gt;"&amp;0)</f>
        <v>0</v>
      </c>
      <c r="AD72" s="148">
        <f>sumifs(Boss!$D:$D,Boss!$B:$B,$D72,Boss!$A:$A,"&gt;="&amp;AD$60,Boss!$A:$A,"&lt;="&amp;AD$61,Boss!$D:$D,"&lt;"&amp;0)+sumifs(VPA.Director!$D:$D,VPA.Director!$B:$B,$D72,VPA.Director!$A:$A,"&gt;="&amp;AD$60,VPA.Director!$A:$A,"&lt;="&amp;AD$61,VPA.Director!$D:$D,"&lt;"&amp;0)+sumifs(ADC.Director!$D:$D,ADC.Director!$B:$B,$D72,ADC.Director!$A:$A,"&gt;="&amp;AD$60,ADC.Director!$A:$A,"&lt;="&amp;AD$61,ADC.Director!$D:$D,"&lt;"&amp;0)+sumifs('000'!$D:$D,'000'!$B:$B,$D72,'000'!$A:$A,"&gt;="&amp;AD$60,'000'!$A:$A,"&lt;="&amp;AD$61,'000'!$D:$D,"&lt;"&amp;0)+sumifs('500'!$D:$D,'500'!$B:$B,$D72,'500'!$A:$A,"&gt;="&amp;AD$60,'500'!$A:$A,"&lt;="&amp;AD$61,'500'!$D:$D,"&lt;"&amp;0)+sumifs('300'!$D:$D,'300'!$B:$B,$D72,'300'!$A:$A,"&gt;="&amp;AD$60,'300'!$A:$A,"&lt;="&amp;AD$61,'300'!$D:$D,"&lt;"&amp;0)+sumifs('600.VPA'!$D:$D,'600.VPA'!$B:$B,$D72,'600.VPA'!$A:$A,"&gt;="&amp;AD$60,'600.VPA'!$A:$A,"&lt;="&amp;AD$61,'600.VPA'!$D:$D,"&lt;"&amp;0)</f>
        <v>0</v>
      </c>
      <c r="AE72" s="149">
        <f>sumifs(Boss!$D:$D,Boss!$B:$B,$D72,Boss!$A:$A,"&gt;="&amp;AE$60,Boss!$A:$A,"&lt;="&amp;AE$61,Boss!$D:$D,"&gt;"&amp;0)+sumifs(VPA.Director!$D:$D,VPA.Director!$B:$B,$D72,VPA.Director!$A:$A,"&gt;="&amp;AE$60,VPA.Director!$A:$A,"&lt;="&amp;AE$61,VPA.Director!$D:$D,"&gt;"&amp;0)+sumifs(ADC.Director!$D:$D,ADC.Director!$B:$B,$D72,ADC.Director!$A:$A,"&gt;="&amp;AE$60,ADC.Director!$A:$A,"&lt;="&amp;AE$61,ADC.Director!$D:$D,"&gt;"&amp;0)+sumifs('000'!$D:$D,'000'!$B:$B,$D72,'000'!$A:$A,"&gt;="&amp;AE$60,'000'!$A:$A,"&lt;="&amp;AE$61,'000'!$D:$D,"&gt;"&amp;0)+sumifs('500'!$D:$D,'500'!$B:$B,$D72,'500'!$A:$A,"&gt;="&amp;AE$60,'500'!$A:$A,"&lt;="&amp;AE$60,'500'!$D:$D,"&gt;"&amp;0)+sumifs('300'!$D:$D,'300'!$B:$B,$D72,'300'!$A:$A,"&gt;="&amp;AE$60,'300'!$A:$A,"&lt;="&amp;AE$61,'300'!$D:$D,"&gt;"&amp;0)+sumifs('600.VPA'!$D:$D,'600.VPA'!$B:$B,$D72,'600.VPA'!$A:$A,"&gt;="&amp;AE$60,'600.VPA'!$A:$A,"&lt;="&amp;AE$61,'600.VPA'!$D:$D,"&gt;"&amp;0)</f>
        <v>0</v>
      </c>
      <c r="AF72" s="148">
        <f>sumifs(Boss!$D:$D,Boss!$B:$B,$D72,Boss!$A:$A,"&gt;="&amp;AF$60,Boss!$A:$A,"&lt;="&amp;AF$61,Boss!$D:$D,"&lt;"&amp;0)+sumifs(VPA.Director!$D:$D,VPA.Director!$B:$B,$D72,VPA.Director!$A:$A,"&gt;="&amp;AF$60,VPA.Director!$A:$A,"&lt;="&amp;AF$61,VPA.Director!$D:$D,"&lt;"&amp;0)+sumifs(ADC.Director!$D:$D,ADC.Director!$B:$B,$D72,ADC.Director!$A:$A,"&gt;="&amp;AF$60,ADC.Director!$A:$A,"&lt;="&amp;AF$61,ADC.Director!$D:$D,"&lt;"&amp;0)+sumifs('000'!$D:$D,'000'!$B:$B,$D72,'000'!$A:$A,"&gt;="&amp;AF$60,'000'!$A:$A,"&lt;="&amp;AF$61,'000'!$D:$D,"&lt;"&amp;0)+sumifs('500'!$D:$D,'500'!$B:$B,$D72,'500'!$A:$A,"&gt;="&amp;AF$60,'500'!$A:$A,"&lt;="&amp;AF$61,'500'!$D:$D,"&lt;"&amp;0)+sumifs('300'!$D:$D,'300'!$B:$B,$D72,'300'!$A:$A,"&gt;="&amp;AF$60,'300'!$A:$A,"&lt;="&amp;AF$61,'300'!$D:$D,"&lt;"&amp;0)+sumifs('600.VPA'!$D:$D,'600.VPA'!$B:$B,$D72,'600.VPA'!$A:$A,"&gt;="&amp;AF$60,'600.VPA'!$A:$A,"&lt;="&amp;AF$61,'600.VPA'!$D:$D,"&lt;"&amp;0)</f>
        <v>0</v>
      </c>
      <c r="AG72" s="149">
        <f>sumifs(Boss!$D:$D,Boss!$B:$B,$D72,Boss!$A:$A,"&gt;="&amp;AG$60,Boss!$A:$A,"&lt;="&amp;AG$61,Boss!$D:$D,"&gt;"&amp;0)+sumifs(VPA.Director!$D:$D,VPA.Director!$B:$B,$D72,VPA.Director!$A:$A,"&gt;="&amp;AG$60,VPA.Director!$A:$A,"&lt;="&amp;AG$61,VPA.Director!$D:$D,"&gt;"&amp;0)+sumifs(ADC.Director!$D:$D,ADC.Director!$B:$B,$D72,ADC.Director!$A:$A,"&gt;="&amp;AG$60,ADC.Director!$A:$A,"&lt;="&amp;AG$61,ADC.Director!$D:$D,"&gt;"&amp;0)+sumifs('000'!$D:$D,'000'!$B:$B,$D72,'000'!$A:$A,"&gt;="&amp;AG$60,'000'!$A:$A,"&lt;="&amp;AG$61,'000'!$D:$D,"&gt;"&amp;0)+sumifs('500'!$D:$D,'500'!$B:$B,$D72,'500'!$A:$A,"&gt;="&amp;AG$60,'500'!$A:$A,"&lt;="&amp;AG$60,'500'!$D:$D,"&gt;"&amp;0)+sumifs('300'!$D:$D,'300'!$B:$B,$D72,'300'!$A:$A,"&gt;="&amp;AG$60,'300'!$A:$A,"&lt;="&amp;AG$61,'300'!$D:$D,"&gt;"&amp;0)+sumifs('600.VPA'!$D:$D,'600.VPA'!$B:$B,$D72,'600.VPA'!$A:$A,"&gt;="&amp;AG$60,'600.VPA'!$A:$A,"&lt;="&amp;AG$61,'600.VPA'!$D:$D,"&gt;"&amp;0)</f>
        <v>0</v>
      </c>
      <c r="AH72" s="150">
        <f t="shared" ref="AH72:AI72" si="11">sum(I72,K72,M72,O72,Q72,S72,V72,X72,Z72,AB72,AD72,AF72)</f>
        <v>0</v>
      </c>
      <c r="AI72" s="151">
        <f t="shared" si="11"/>
        <v>0</v>
      </c>
      <c r="AJ72" s="150">
        <f t="shared" si="4"/>
        <v>0</v>
      </c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</row>
    <row r="73">
      <c r="A73" s="86"/>
      <c r="B73" s="144"/>
      <c r="D73" s="146" t="s">
        <v>69</v>
      </c>
      <c r="E73" s="147" t="s">
        <v>13</v>
      </c>
      <c r="F73" s="146" t="s">
        <v>145</v>
      </c>
      <c r="G73" s="146" t="s">
        <v>71</v>
      </c>
      <c r="H73" s="146" t="s">
        <v>72</v>
      </c>
      <c r="I73" s="148">
        <f>sumifs(Boss!$D:$D,Boss!$B:$B,$D73,Boss!$A:$A,"&gt;="&amp;I$60,Boss!$A:$A,"&lt;="&amp;I$61,Boss!$D:$D,"&lt;"&amp;0)+sumifs(VPA.Director!$D:$D,VPA.Director!$B:$B,$D73,VPA.Director!$A:$A,"&gt;="&amp;I$60,VPA.Director!$A:$A,"&lt;="&amp;I$61,VPA.Director!$D:$D,"&lt;"&amp;0)+sumifs(ADC.Director!$D:$D,ADC.Director!$B:$B,$D73,ADC.Director!$A:$A,"&gt;="&amp;I$60,ADC.Director!$A:$A,"&lt;="&amp;I$61,ADC.Director!$D:$D,"&lt;"&amp;0)+sumifs('000'!$D:$D,'000'!$B:$B,$D73,'000'!$A:$A,"&gt;="&amp;I$60,'000'!$A:$A,"&lt;="&amp;I$61,'000'!$D:$D,"&lt;"&amp;0)+sumifs('500'!$D:$D,'500'!$B:$B,$D73,'500'!$A:$A,"&gt;="&amp;I$60,'500'!$A:$A,"&lt;="&amp;I$61,'500'!$D:$D,"&lt;"&amp;0)+sumifs('300'!$D:$D,'300'!$B:$B,$D73,'300'!$A:$A,"&gt;="&amp;I$60,'300'!$A:$A,"&lt;="&amp;I$61,'300'!$D:$D,"&lt;"&amp;0)+sumifs('600.VPA'!$D:$D,'600.VPA'!$B:$B,$D73,'600.VPA'!$A:$A,"&gt;="&amp;I$60,'600.VPA'!$A:$A,"&lt;="&amp;I$61,'600.VPA'!$D:$D,"&lt;"&amp;0)</f>
        <v>0</v>
      </c>
      <c r="J73" s="149">
        <f>sumifs(Boss!$D:$D,Boss!$B:$B,$D73,Boss!$A:$A,"&gt;="&amp;J$60,Boss!$A:$A,"&lt;="&amp;J$61,Boss!$D:$D,"&gt;"&amp;0)+sumifs(VPA.Director!$D:$D,VPA.Director!$B:$B,$D73,VPA.Director!$A:$A,"&gt;="&amp;J$60,VPA.Director!$A:$A,"&lt;="&amp;J$61,VPA.Director!$D:$D,"&gt;"&amp;0)+sumifs(ADC.Director!$D:$D,ADC.Director!$B:$B,$D73,ADC.Director!$A:$A,"&gt;="&amp;J$60,ADC.Director!$A:$A,"&lt;="&amp;J$61,ADC.Director!$D:$D,"&gt;"&amp;0)+sumifs('000'!$D:$D,'000'!$B:$B,$D73,'000'!$A:$A,"&gt;="&amp;J$60,'000'!$A:$A,"&lt;="&amp;J$61,'000'!$D:$D,"&gt;"&amp;0)+sumifs('500'!$D:$D,'500'!$B:$B,$D73,'500'!$A:$A,"&gt;="&amp;J$60,'500'!$A:$A,"&lt;="&amp;J$60,'500'!$D:$D,"&gt;"&amp;0)+sumifs('300'!$D:$D,'300'!$B:$B,$D73,'300'!$A:$A,"&gt;="&amp;J$60,'300'!$A:$A,"&lt;="&amp;J$61,'300'!$D:$D,"&gt;"&amp;0)+sumifs('600.VPA'!$D:$D,'600.VPA'!$B:$B,$D73,'600.VPA'!$A:$A,"&gt;="&amp;J$60,'600.VPA'!$A:$A,"&lt;="&amp;J$61,'600.VPA'!$D:$D,"&gt;"&amp;0)</f>
        <v>0</v>
      </c>
      <c r="K73" s="148">
        <f>sumifs(Boss!$D:$D,Boss!$B:$B,$D73,Boss!$A:$A,"&gt;="&amp;K$60,Boss!$A:$A,"&lt;="&amp;K$61,Boss!$D:$D,"&lt;"&amp;0)+sumifs(VPA.Director!$D:$D,VPA.Director!$B:$B,$D73,VPA.Director!$A:$A,"&gt;="&amp;K$60,VPA.Director!$A:$A,"&lt;="&amp;K$61,VPA.Director!$D:$D,"&lt;"&amp;0)+sumifs(ADC.Director!$D:$D,ADC.Director!$B:$B,$D73,ADC.Director!$A:$A,"&gt;="&amp;K$60,ADC.Director!$A:$A,"&lt;="&amp;K$61,ADC.Director!$D:$D,"&lt;"&amp;0)+sumifs('000'!$D:$D,'000'!$B:$B,$D73,'000'!$A:$A,"&gt;="&amp;K$60,'000'!$A:$A,"&lt;="&amp;K$61,'000'!$D:$D,"&lt;"&amp;0)+sumifs('500'!$D:$D,'500'!$B:$B,$D73,'500'!$A:$A,"&gt;="&amp;K$60,'500'!$A:$A,"&lt;="&amp;K$61,'500'!$D:$D,"&lt;"&amp;0)+sumifs('300'!$D:$D,'300'!$B:$B,$D73,'300'!$A:$A,"&gt;="&amp;K$60,'300'!$A:$A,"&lt;="&amp;K$61,'300'!$D:$D,"&lt;"&amp;0)+sumifs('600.VPA'!$D:$D,'600.VPA'!$B:$B,$D73,'600.VPA'!$A:$A,"&gt;="&amp;K$60,'600.VPA'!$A:$A,"&lt;="&amp;K$61,'600.VPA'!$D:$D,"&lt;"&amp;0)</f>
        <v>0</v>
      </c>
      <c r="L73" s="149">
        <f>sumifs(Boss!$D:$D,Boss!$B:$B,$D73,Boss!$A:$A,"&gt;="&amp;L$60,Boss!$A:$A,"&lt;="&amp;L$61,Boss!$D:$D,"&gt;"&amp;0)+sumifs(VPA.Director!$D:$D,VPA.Director!$B:$B,$D73,VPA.Director!$A:$A,"&gt;="&amp;L$60,VPA.Director!$A:$A,"&lt;="&amp;L$61,VPA.Director!$D:$D,"&gt;"&amp;0)+sumifs(ADC.Director!$D:$D,ADC.Director!$B:$B,$D73,ADC.Director!$A:$A,"&gt;="&amp;L$60,ADC.Director!$A:$A,"&lt;="&amp;L$61,ADC.Director!$D:$D,"&gt;"&amp;0)+sumifs('000'!$D:$D,'000'!$B:$B,$D73,'000'!$A:$A,"&gt;="&amp;L$60,'000'!$A:$A,"&lt;="&amp;L$61,'000'!$D:$D,"&gt;"&amp;0)+sumifs('500'!$D:$D,'500'!$B:$B,$D73,'500'!$A:$A,"&gt;="&amp;L$60,'500'!$A:$A,"&lt;="&amp;L$60,'500'!$D:$D,"&gt;"&amp;0)+sumifs('300'!$D:$D,'300'!$B:$B,$D73,'300'!$A:$A,"&gt;="&amp;L$60,'300'!$A:$A,"&lt;="&amp;L$61,'300'!$D:$D,"&gt;"&amp;0)+sumifs('600.VPA'!$D:$D,'600.VPA'!$B:$B,$D73,'600.VPA'!$A:$A,"&gt;="&amp;L$60,'600.VPA'!$A:$A,"&lt;="&amp;L$61,'600.VPA'!$D:$D,"&gt;"&amp;0)</f>
        <v>0</v>
      </c>
      <c r="M73" s="148">
        <f>sumifs(Boss!$D:$D,Boss!$B:$B,$D73,Boss!$A:$A,"&gt;="&amp;M$60,Boss!$A:$A,"&lt;="&amp;M$61,Boss!$D:$D,"&lt;"&amp;0)+sumifs(VPA.Director!$D:$D,VPA.Director!$B:$B,$D73,VPA.Director!$A:$A,"&gt;="&amp;M$60,VPA.Director!$A:$A,"&lt;="&amp;M$61,VPA.Director!$D:$D,"&lt;"&amp;0)+sumifs(ADC.Director!$D:$D,ADC.Director!$B:$B,$D73,ADC.Director!$A:$A,"&gt;="&amp;M$60,ADC.Director!$A:$A,"&lt;="&amp;M$61,ADC.Director!$D:$D,"&lt;"&amp;0)+sumifs('000'!$D:$D,'000'!$B:$B,$D73,'000'!$A:$A,"&gt;="&amp;M$60,'000'!$A:$A,"&lt;="&amp;M$61,'000'!$D:$D,"&lt;"&amp;0)+sumifs('500'!$D:$D,'500'!$B:$B,$D73,'500'!$A:$A,"&gt;="&amp;M$60,'500'!$A:$A,"&lt;="&amp;M$61,'500'!$D:$D,"&lt;"&amp;0)+sumifs('300'!$D:$D,'300'!$B:$B,$D73,'300'!$A:$A,"&gt;="&amp;M$60,'300'!$A:$A,"&lt;="&amp;M$61,'300'!$D:$D,"&lt;"&amp;0)+sumifs('600.VPA'!$D:$D,'600.VPA'!$B:$B,$D73,'600.VPA'!$A:$A,"&gt;="&amp;M$60,'600.VPA'!$A:$A,"&lt;="&amp;M$61,'600.VPA'!$D:$D,"&lt;"&amp;0)</f>
        <v>0</v>
      </c>
      <c r="N73" s="149">
        <f>sumifs(Boss!$D:$D,Boss!$B:$B,$D73,Boss!$A:$A,"&gt;="&amp;N$60,Boss!$A:$A,"&lt;="&amp;N$61,Boss!$D:$D,"&gt;"&amp;0)+sumifs(VPA.Director!$D:$D,VPA.Director!$B:$B,$D73,VPA.Director!$A:$A,"&gt;="&amp;N$60,VPA.Director!$A:$A,"&lt;="&amp;N$61,VPA.Director!$D:$D,"&gt;"&amp;0)+sumifs(ADC.Director!$D:$D,ADC.Director!$B:$B,$D73,ADC.Director!$A:$A,"&gt;="&amp;N$60,ADC.Director!$A:$A,"&lt;="&amp;N$61,ADC.Director!$D:$D,"&gt;"&amp;0)+sumifs('000'!$D:$D,'000'!$B:$B,$D73,'000'!$A:$A,"&gt;="&amp;N$60,'000'!$A:$A,"&lt;="&amp;N$61,'000'!$D:$D,"&gt;"&amp;0)+sumifs('500'!$D:$D,'500'!$B:$B,$D73,'500'!$A:$A,"&gt;="&amp;N$60,'500'!$A:$A,"&lt;="&amp;N$60,'500'!$D:$D,"&gt;"&amp;0)+sumifs('300'!$D:$D,'300'!$B:$B,$D73,'300'!$A:$A,"&gt;="&amp;N$60,'300'!$A:$A,"&lt;="&amp;N$61,'300'!$D:$D,"&gt;"&amp;0)+sumifs('600.VPA'!$D:$D,'600.VPA'!$B:$B,$D73,'600.VPA'!$A:$A,"&gt;="&amp;N$60,'600.VPA'!$A:$A,"&lt;="&amp;N$61,'600.VPA'!$D:$D,"&gt;"&amp;0)</f>
        <v>0</v>
      </c>
      <c r="O73" s="148">
        <f>sumifs(Boss!$D:$D,Boss!$B:$B,$D73,Boss!$A:$A,"&gt;="&amp;O$60,Boss!$A:$A,"&lt;="&amp;O$61,Boss!$D:$D,"&lt;"&amp;0)+sumifs(VPA.Director!$D:$D,VPA.Director!$B:$B,$D73,VPA.Director!$A:$A,"&gt;="&amp;O$60,VPA.Director!$A:$A,"&lt;="&amp;O$61,VPA.Director!$D:$D,"&lt;"&amp;0)+sumifs(ADC.Director!$D:$D,ADC.Director!$B:$B,$D73,ADC.Director!$A:$A,"&gt;="&amp;O$60,ADC.Director!$A:$A,"&lt;="&amp;O$61,ADC.Director!$D:$D,"&lt;"&amp;0)+sumifs('000'!$D:$D,'000'!$B:$B,$D73,'000'!$A:$A,"&gt;="&amp;O$60,'000'!$A:$A,"&lt;="&amp;O$61,'000'!$D:$D,"&lt;"&amp;0)+sumifs('500'!$D:$D,'500'!$B:$B,$D73,'500'!$A:$A,"&gt;="&amp;O$60,'500'!$A:$A,"&lt;="&amp;O$61,'500'!$D:$D,"&lt;"&amp;0)+sumifs('300'!$D:$D,'300'!$B:$B,$D73,'300'!$A:$A,"&gt;="&amp;O$60,'300'!$A:$A,"&lt;="&amp;O$61,'300'!$D:$D,"&lt;"&amp;0)+sumifs('600.VPA'!$D:$D,'600.VPA'!$B:$B,$D73,'600.VPA'!$A:$A,"&gt;="&amp;O$60,'600.VPA'!$A:$A,"&lt;="&amp;O$61,'600.VPA'!$D:$D,"&lt;"&amp;0)</f>
        <v>0</v>
      </c>
      <c r="P73" s="149">
        <f>sumifs(Boss!$D:$D,Boss!$B:$B,$D73,Boss!$A:$A,"&gt;="&amp;P$60,Boss!$A:$A,"&lt;="&amp;P$61,Boss!$D:$D,"&gt;"&amp;0)+sumifs(VPA.Director!$D:$D,VPA.Director!$B:$B,$D73,VPA.Director!$A:$A,"&gt;="&amp;P$60,VPA.Director!$A:$A,"&lt;="&amp;P$61,VPA.Director!$D:$D,"&gt;"&amp;0)+sumifs(ADC.Director!$D:$D,ADC.Director!$B:$B,$D73,ADC.Director!$A:$A,"&gt;="&amp;P$60,ADC.Director!$A:$A,"&lt;="&amp;P$61,ADC.Director!$D:$D,"&gt;"&amp;0)+sumifs('000'!$D:$D,'000'!$B:$B,$D73,'000'!$A:$A,"&gt;="&amp;P$60,'000'!$A:$A,"&lt;="&amp;P$61,'000'!$D:$D,"&gt;"&amp;0)+sumifs('500'!$D:$D,'500'!$B:$B,$D73,'500'!$A:$A,"&gt;="&amp;P$60,'500'!$A:$A,"&lt;="&amp;P$60,'500'!$D:$D,"&gt;"&amp;0)+sumifs('300'!$D:$D,'300'!$B:$B,$D73,'300'!$A:$A,"&gt;="&amp;P$60,'300'!$A:$A,"&lt;="&amp;P$61,'300'!$D:$D,"&gt;"&amp;0)+sumifs('600.VPA'!$D:$D,'600.VPA'!$B:$B,$D73,'600.VPA'!$A:$A,"&gt;="&amp;P$60,'600.VPA'!$A:$A,"&lt;="&amp;P$61,'600.VPA'!$D:$D,"&gt;"&amp;0)</f>
        <v>0</v>
      </c>
      <c r="Q73" s="148">
        <f>sumifs(Boss!$D:$D,Boss!$B:$B,$D73,Boss!$A:$A,"&gt;="&amp;Q$60,Boss!$A:$A,"&lt;="&amp;Q$61,Boss!$D:$D,"&lt;"&amp;0)+sumifs(VPA.Director!$D:$D,VPA.Director!$B:$B,$D73,VPA.Director!$A:$A,"&gt;="&amp;Q$60,VPA.Director!$A:$A,"&lt;="&amp;Q$61,VPA.Director!$D:$D,"&lt;"&amp;0)+sumifs(ADC.Director!$D:$D,ADC.Director!$B:$B,$D73,ADC.Director!$A:$A,"&gt;="&amp;Q$60,ADC.Director!$A:$A,"&lt;="&amp;Q$61,ADC.Director!$D:$D,"&lt;"&amp;0)+sumifs('000'!$D:$D,'000'!$B:$B,$D73,'000'!$A:$A,"&gt;="&amp;Q$60,'000'!$A:$A,"&lt;="&amp;Q$61,'000'!$D:$D,"&lt;"&amp;0)+sumifs('500'!$D:$D,'500'!$B:$B,$D73,'500'!$A:$A,"&gt;="&amp;Q$60,'500'!$A:$A,"&lt;="&amp;Q$61,'500'!$D:$D,"&lt;"&amp;0)+sumifs('300'!$D:$D,'300'!$B:$B,$D73,'300'!$A:$A,"&gt;="&amp;Q$60,'300'!$A:$A,"&lt;="&amp;Q$61,'300'!$D:$D,"&lt;"&amp;0)+sumifs('600.VPA'!$D:$D,'600.VPA'!$B:$B,$D73,'600.VPA'!$A:$A,"&gt;="&amp;Q$60,'600.VPA'!$A:$A,"&lt;="&amp;Q$61,'600.VPA'!$D:$D,"&lt;"&amp;0)</f>
        <v>0</v>
      </c>
      <c r="R73" s="149">
        <f>sumifs(Boss!$D:$D,Boss!$B:$B,$D73,Boss!$A:$A,"&gt;="&amp;R$60,Boss!$A:$A,"&lt;="&amp;R$61,Boss!$D:$D,"&gt;"&amp;0)+sumifs(VPA.Director!$D:$D,VPA.Director!$B:$B,$D73,VPA.Director!$A:$A,"&gt;="&amp;R$60,VPA.Director!$A:$A,"&lt;="&amp;R$61,VPA.Director!$D:$D,"&gt;"&amp;0)+sumifs(ADC.Director!$D:$D,ADC.Director!$B:$B,$D73,ADC.Director!$A:$A,"&gt;="&amp;R$60,ADC.Director!$A:$A,"&lt;="&amp;R$61,ADC.Director!$D:$D,"&gt;"&amp;0)+sumifs('000'!$D:$D,'000'!$B:$B,$D73,'000'!$A:$A,"&gt;="&amp;R$60,'000'!$A:$A,"&lt;="&amp;R$61,'000'!$D:$D,"&gt;"&amp;0)+sumifs('500'!$D:$D,'500'!$B:$B,$D73,'500'!$A:$A,"&gt;="&amp;R$60,'500'!$A:$A,"&lt;="&amp;R$60,'500'!$D:$D,"&gt;"&amp;0)+sumifs('300'!$D:$D,'300'!$B:$B,$D73,'300'!$A:$A,"&gt;="&amp;R$60,'300'!$A:$A,"&lt;="&amp;R$61,'300'!$D:$D,"&gt;"&amp;0)+sumifs('600.VPA'!$D:$D,'600.VPA'!$B:$B,$D73,'600.VPA'!$A:$A,"&gt;="&amp;R$60,'600.VPA'!$A:$A,"&lt;="&amp;R$61,'600.VPA'!$D:$D,"&gt;"&amp;0)</f>
        <v>0</v>
      </c>
      <c r="S73" s="148">
        <f>sumifs(Boss!$D:$D,Boss!$B:$B,$D73,Boss!$A:$A,"&gt;="&amp;S$60,Boss!$A:$A,"&lt;="&amp;S$61,Boss!$D:$D,"&lt;"&amp;0)+sumifs(VPA.Director!$D:$D,VPA.Director!$B:$B,$D73,VPA.Director!$A:$A,"&gt;="&amp;S$60,VPA.Director!$A:$A,"&lt;="&amp;S$61,VPA.Director!$D:$D,"&lt;"&amp;0)+sumifs(ADC.Director!$D:$D,ADC.Director!$B:$B,$D73,ADC.Director!$A:$A,"&gt;="&amp;S$60,ADC.Director!$A:$A,"&lt;="&amp;S$61,ADC.Director!$D:$D,"&lt;"&amp;0)+sumifs('000'!$D:$D,'000'!$B:$B,$D73,'000'!$A:$A,"&gt;="&amp;S$60,'000'!$A:$A,"&lt;="&amp;S$61,'000'!$D:$D,"&lt;"&amp;0)+sumifs('500'!$D:$D,'500'!$B:$B,$D73,'500'!$A:$A,"&gt;="&amp;S$60,'500'!$A:$A,"&lt;="&amp;S$61,'500'!$D:$D,"&lt;"&amp;0)+sumifs('300'!$D:$D,'300'!$B:$B,$D73,'300'!$A:$A,"&gt;="&amp;S$60,'300'!$A:$A,"&lt;="&amp;S$61,'300'!$D:$D,"&lt;"&amp;0)+sumifs('600.VPA'!$D:$D,'600.VPA'!$B:$B,$D73,'600.VPA'!$A:$A,"&gt;="&amp;S$60,'600.VPA'!$A:$A,"&lt;="&amp;S$61,'600.VPA'!$D:$D,"&lt;"&amp;0)</f>
        <v>0</v>
      </c>
      <c r="T73" s="149">
        <f>sumifs(Boss!$D:$D,Boss!$B:$B,$D73,Boss!$A:$A,"&gt;="&amp;T$60,Boss!$A:$A,"&lt;="&amp;T$61,Boss!$D:$D,"&gt;"&amp;0)+sumifs(VPA.Director!$D:$D,VPA.Director!$B:$B,$D73,VPA.Director!$A:$A,"&gt;="&amp;T$60,VPA.Director!$A:$A,"&lt;="&amp;T$61,VPA.Director!$D:$D,"&gt;"&amp;0)+sumifs(ADC.Director!$D:$D,ADC.Director!$B:$B,$D73,ADC.Director!$A:$A,"&gt;="&amp;T$60,ADC.Director!$A:$A,"&lt;="&amp;T$61,ADC.Director!$D:$D,"&gt;"&amp;0)+sumifs('000'!$D:$D,'000'!$B:$B,$D73,'000'!$A:$A,"&gt;="&amp;T$60,'000'!$A:$A,"&lt;="&amp;T$61,'000'!$D:$D,"&gt;"&amp;0)+sumifs('500'!$D:$D,'500'!$B:$B,$D73,'500'!$A:$A,"&gt;="&amp;T$60,'500'!$A:$A,"&lt;="&amp;T$60,'500'!$D:$D,"&gt;"&amp;0)+sumifs('300'!$D:$D,'300'!$B:$B,$D73,'300'!$A:$A,"&gt;="&amp;T$60,'300'!$A:$A,"&lt;="&amp;T$61,'300'!$D:$D,"&gt;"&amp;0)+sumifs('600.VPA'!$D:$D,'600.VPA'!$B:$B,$D73,'600.VPA'!$A:$A,"&gt;="&amp;T$60,'600.VPA'!$A:$A,"&lt;="&amp;T$61,'600.VPA'!$D:$D,"&gt;"&amp;0)</f>
        <v>0</v>
      </c>
      <c r="U73" s="144"/>
      <c r="V73" s="148">
        <f>sumifs(Boss!$D:$D,Boss!$B:$B,$D73,Boss!$A:$A,"&gt;="&amp;V$60,Boss!$A:$A,"&lt;="&amp;V$61,Boss!$D:$D,"&lt;"&amp;0)+sumifs(VPA.Director!$D:$D,VPA.Director!$B:$B,$D73,VPA.Director!$A:$A,"&gt;="&amp;V$60,VPA.Director!$A:$A,"&lt;="&amp;V$61,VPA.Director!$D:$D,"&lt;"&amp;0)+sumifs(ADC.Director!$D:$D,ADC.Director!$B:$B,$D73,ADC.Director!$A:$A,"&gt;="&amp;V$60,ADC.Director!$A:$A,"&lt;="&amp;V$61,ADC.Director!$D:$D,"&lt;"&amp;0)+sumifs('000'!$D:$D,'000'!$B:$B,$D73,'000'!$A:$A,"&gt;="&amp;V$60,'000'!$A:$A,"&lt;="&amp;V$61,'000'!$D:$D,"&lt;"&amp;0)+sumifs('500'!$D:$D,'500'!$B:$B,$D73,'500'!$A:$A,"&gt;="&amp;V$60,'500'!$A:$A,"&lt;="&amp;V$61,'500'!$D:$D,"&lt;"&amp;0)+sumifs('300'!$D:$D,'300'!$B:$B,$D73,'300'!$A:$A,"&gt;="&amp;V$60,'300'!$A:$A,"&lt;="&amp;V$61,'300'!$D:$D,"&lt;"&amp;0)+sumifs('600.VPA'!$D:$D,'600.VPA'!$B:$B,$D73,'600.VPA'!$A:$A,"&gt;="&amp;V$60,'600.VPA'!$A:$A,"&lt;="&amp;V$61,'600.VPA'!$D:$D,"&lt;"&amp;0)</f>
        <v>0</v>
      </c>
      <c r="W73" s="149">
        <f>sumifs(Boss!$D:$D,Boss!$B:$B,$D73,Boss!$A:$A,"&gt;="&amp;W$60,Boss!$A:$A,"&lt;="&amp;W$61,Boss!$D:$D,"&gt;"&amp;0)+sumifs(VPA.Director!$D:$D,VPA.Director!$B:$B,$D73,VPA.Director!$A:$A,"&gt;="&amp;W$60,VPA.Director!$A:$A,"&lt;="&amp;W$61,VPA.Director!$D:$D,"&gt;"&amp;0)+sumifs(ADC.Director!$D:$D,ADC.Director!$B:$B,$D73,ADC.Director!$A:$A,"&gt;="&amp;W$60,ADC.Director!$A:$A,"&lt;="&amp;W$61,ADC.Director!$D:$D,"&gt;"&amp;0)+sumifs('000'!$D:$D,'000'!$B:$B,$D73,'000'!$A:$A,"&gt;="&amp;W$60,'000'!$A:$A,"&lt;="&amp;W$61,'000'!$D:$D,"&gt;"&amp;0)+sumifs('500'!$D:$D,'500'!$B:$B,$D73,'500'!$A:$A,"&gt;="&amp;W$60,'500'!$A:$A,"&lt;="&amp;W$60,'500'!$D:$D,"&gt;"&amp;0)+sumifs('300'!$D:$D,'300'!$B:$B,$D73,'300'!$A:$A,"&gt;="&amp;W$60,'300'!$A:$A,"&lt;="&amp;W$61,'300'!$D:$D,"&gt;"&amp;0)+sumifs('600.VPA'!$D:$D,'600.VPA'!$B:$B,$D73,'600.VPA'!$A:$A,"&gt;="&amp;W$60,'600.VPA'!$A:$A,"&lt;="&amp;W$61,'600.VPA'!$D:$D,"&gt;"&amp;0)</f>
        <v>0</v>
      </c>
      <c r="X73" s="148">
        <f>sumifs(Boss!$D:$D,Boss!$B:$B,$D73,Boss!$A:$A,"&gt;="&amp;X$60,Boss!$A:$A,"&lt;="&amp;X$61,Boss!$D:$D,"&lt;"&amp;0)+sumifs(VPA.Director!$D:$D,VPA.Director!$B:$B,$D73,VPA.Director!$A:$A,"&gt;="&amp;X$60,VPA.Director!$A:$A,"&lt;="&amp;X$61,VPA.Director!$D:$D,"&lt;"&amp;0)+sumifs(ADC.Director!$D:$D,ADC.Director!$B:$B,$D73,ADC.Director!$A:$A,"&gt;="&amp;X$60,ADC.Director!$A:$A,"&lt;="&amp;X$61,ADC.Director!$D:$D,"&lt;"&amp;0)+sumifs('000'!$D:$D,'000'!$B:$B,$D73,'000'!$A:$A,"&gt;="&amp;X$60,'000'!$A:$A,"&lt;="&amp;X$61,'000'!$D:$D,"&lt;"&amp;0)+sumifs('500'!$D:$D,'500'!$B:$B,$D73,'500'!$A:$A,"&gt;="&amp;X$60,'500'!$A:$A,"&lt;="&amp;X$61,'500'!$D:$D,"&lt;"&amp;0)+sumifs('300'!$D:$D,'300'!$B:$B,$D73,'300'!$A:$A,"&gt;="&amp;X$60,'300'!$A:$A,"&lt;="&amp;X$61,'300'!$D:$D,"&lt;"&amp;0)+sumifs('600.VPA'!$D:$D,'600.VPA'!$B:$B,$D73,'600.VPA'!$A:$A,"&gt;="&amp;X$60,'600.VPA'!$A:$A,"&lt;="&amp;X$61,'600.VPA'!$D:$D,"&lt;"&amp;0)</f>
        <v>0</v>
      </c>
      <c r="Y73" s="149">
        <f>sumifs(Boss!$D:$D,Boss!$B:$B,$D73,Boss!$A:$A,"&gt;="&amp;Y$60,Boss!$A:$A,"&lt;="&amp;Y$61,Boss!$D:$D,"&gt;"&amp;0)+sumifs(VPA.Director!$D:$D,VPA.Director!$B:$B,$D73,VPA.Director!$A:$A,"&gt;="&amp;Y$60,VPA.Director!$A:$A,"&lt;="&amp;Y$61,VPA.Director!$D:$D,"&gt;"&amp;0)+sumifs(ADC.Director!$D:$D,ADC.Director!$B:$B,$D73,ADC.Director!$A:$A,"&gt;="&amp;Y$60,ADC.Director!$A:$A,"&lt;="&amp;Y$61,ADC.Director!$D:$D,"&gt;"&amp;0)+sumifs('000'!$D:$D,'000'!$B:$B,$D73,'000'!$A:$A,"&gt;="&amp;Y$60,'000'!$A:$A,"&lt;="&amp;Y$61,'000'!$D:$D,"&gt;"&amp;0)+sumifs('500'!$D:$D,'500'!$B:$B,$D73,'500'!$A:$A,"&gt;="&amp;Y$60,'500'!$A:$A,"&lt;="&amp;Y$60,'500'!$D:$D,"&gt;"&amp;0)+sumifs('300'!$D:$D,'300'!$B:$B,$D73,'300'!$A:$A,"&gt;="&amp;Y$60,'300'!$A:$A,"&lt;="&amp;Y$61,'300'!$D:$D,"&gt;"&amp;0)+sumifs('600.VPA'!$D:$D,'600.VPA'!$B:$B,$D73,'600.VPA'!$A:$A,"&gt;="&amp;Y$60,'600.VPA'!$A:$A,"&lt;="&amp;Y$61,'600.VPA'!$D:$D,"&gt;"&amp;0)</f>
        <v>0</v>
      </c>
      <c r="Z73" s="148">
        <f>sumifs(Boss!$D:$D,Boss!$B:$B,$D73,Boss!$A:$A,"&gt;="&amp;Z$60,Boss!$A:$A,"&lt;="&amp;Z$61,Boss!$D:$D,"&lt;"&amp;0)+sumifs(VPA.Director!$D:$D,VPA.Director!$B:$B,$D73,VPA.Director!$A:$A,"&gt;="&amp;Z$60,VPA.Director!$A:$A,"&lt;="&amp;Z$61,VPA.Director!$D:$D,"&lt;"&amp;0)+sumifs(ADC.Director!$D:$D,ADC.Director!$B:$B,$D73,ADC.Director!$A:$A,"&gt;="&amp;Z$60,ADC.Director!$A:$A,"&lt;="&amp;Z$61,ADC.Director!$D:$D,"&lt;"&amp;0)+sumifs('000'!$D:$D,'000'!$B:$B,$D73,'000'!$A:$A,"&gt;="&amp;Z$60,'000'!$A:$A,"&lt;="&amp;Z$61,'000'!$D:$D,"&lt;"&amp;0)+sumifs('500'!$D:$D,'500'!$B:$B,$D73,'500'!$A:$A,"&gt;="&amp;Z$60,'500'!$A:$A,"&lt;="&amp;Z$61,'500'!$D:$D,"&lt;"&amp;0)+sumifs('300'!$D:$D,'300'!$B:$B,$D73,'300'!$A:$A,"&gt;="&amp;Z$60,'300'!$A:$A,"&lt;="&amp;Z$61,'300'!$D:$D,"&lt;"&amp;0)+sumifs('600.VPA'!$D:$D,'600.VPA'!$B:$B,$D73,'600.VPA'!$A:$A,"&gt;="&amp;Z$60,'600.VPA'!$A:$A,"&lt;="&amp;Z$61,'600.VPA'!$D:$D,"&lt;"&amp;0)</f>
        <v>0</v>
      </c>
      <c r="AA73" s="149">
        <f>sumifs(Boss!$D:$D,Boss!$B:$B,$D73,Boss!$A:$A,"&gt;="&amp;AA$60,Boss!$A:$A,"&lt;="&amp;AA$61,Boss!$D:$D,"&gt;"&amp;0)+sumifs(VPA.Director!$D:$D,VPA.Director!$B:$B,$D73,VPA.Director!$A:$A,"&gt;="&amp;AA$60,VPA.Director!$A:$A,"&lt;="&amp;AA$61,VPA.Director!$D:$D,"&gt;"&amp;0)+sumifs(ADC.Director!$D:$D,ADC.Director!$B:$B,$D73,ADC.Director!$A:$A,"&gt;="&amp;AA$60,ADC.Director!$A:$A,"&lt;="&amp;AA$61,ADC.Director!$D:$D,"&gt;"&amp;0)+sumifs('000'!$D:$D,'000'!$B:$B,$D73,'000'!$A:$A,"&gt;="&amp;AA$60,'000'!$A:$A,"&lt;="&amp;AA$61,'000'!$D:$D,"&gt;"&amp;0)+sumifs('500'!$D:$D,'500'!$B:$B,$D73,'500'!$A:$A,"&gt;="&amp;AA$60,'500'!$A:$A,"&lt;="&amp;AA$60,'500'!$D:$D,"&gt;"&amp;0)+sumifs('300'!$D:$D,'300'!$B:$B,$D73,'300'!$A:$A,"&gt;="&amp;AA$60,'300'!$A:$A,"&lt;="&amp;AA$61,'300'!$D:$D,"&gt;"&amp;0)+sumifs('600.VPA'!$D:$D,'600.VPA'!$B:$B,$D73,'600.VPA'!$A:$A,"&gt;="&amp;AA$60,'600.VPA'!$A:$A,"&lt;="&amp;AA$61,'600.VPA'!$D:$D,"&gt;"&amp;0)</f>
        <v>0</v>
      </c>
      <c r="AB73" s="148">
        <f>sumifs(Boss!$D:$D,Boss!$B:$B,$D73,Boss!$A:$A,"&gt;="&amp;AB$60,Boss!$A:$A,"&lt;="&amp;AB$61,Boss!$D:$D,"&lt;"&amp;0)+sumifs(VPA.Director!$D:$D,VPA.Director!$B:$B,$D73,VPA.Director!$A:$A,"&gt;="&amp;AB$60,VPA.Director!$A:$A,"&lt;="&amp;AB$61,VPA.Director!$D:$D,"&lt;"&amp;0)+sumifs(ADC.Director!$D:$D,ADC.Director!$B:$B,$D73,ADC.Director!$A:$A,"&gt;="&amp;AB$60,ADC.Director!$A:$A,"&lt;="&amp;AB$61,ADC.Director!$D:$D,"&lt;"&amp;0)+sumifs('000'!$D:$D,'000'!$B:$B,$D73,'000'!$A:$A,"&gt;="&amp;AB$60,'000'!$A:$A,"&lt;="&amp;AB$61,'000'!$D:$D,"&lt;"&amp;0)+sumifs('500'!$D:$D,'500'!$B:$B,$D73,'500'!$A:$A,"&gt;="&amp;AB$60,'500'!$A:$A,"&lt;="&amp;AB$61,'500'!$D:$D,"&lt;"&amp;0)+sumifs('300'!$D:$D,'300'!$B:$B,$D73,'300'!$A:$A,"&gt;="&amp;AB$60,'300'!$A:$A,"&lt;="&amp;AB$61,'300'!$D:$D,"&lt;"&amp;0)+sumifs('600.VPA'!$D:$D,'600.VPA'!$B:$B,$D73,'600.VPA'!$A:$A,"&gt;="&amp;AB$60,'600.VPA'!$A:$A,"&lt;="&amp;AB$61,'600.VPA'!$D:$D,"&lt;"&amp;0)</f>
        <v>0</v>
      </c>
      <c r="AC73" s="149">
        <f>sumifs(Boss!$D:$D,Boss!$B:$B,$D73,Boss!$A:$A,"&gt;="&amp;AC$60,Boss!$A:$A,"&lt;="&amp;AC$61,Boss!$D:$D,"&gt;"&amp;0)+sumifs(VPA.Director!$D:$D,VPA.Director!$B:$B,$D73,VPA.Director!$A:$A,"&gt;="&amp;AC$60,VPA.Director!$A:$A,"&lt;="&amp;AC$61,VPA.Director!$D:$D,"&gt;"&amp;0)+sumifs(ADC.Director!$D:$D,ADC.Director!$B:$B,$D73,ADC.Director!$A:$A,"&gt;="&amp;AC$60,ADC.Director!$A:$A,"&lt;="&amp;AC$61,ADC.Director!$D:$D,"&gt;"&amp;0)+sumifs('000'!$D:$D,'000'!$B:$B,$D73,'000'!$A:$A,"&gt;="&amp;AC$60,'000'!$A:$A,"&lt;="&amp;AC$61,'000'!$D:$D,"&gt;"&amp;0)+sumifs('500'!$D:$D,'500'!$B:$B,$D73,'500'!$A:$A,"&gt;="&amp;AC$60,'500'!$A:$A,"&lt;="&amp;AC$60,'500'!$D:$D,"&gt;"&amp;0)+sumifs('300'!$D:$D,'300'!$B:$B,$D73,'300'!$A:$A,"&gt;="&amp;AC$60,'300'!$A:$A,"&lt;="&amp;AC$61,'300'!$D:$D,"&gt;"&amp;0)+sumifs('600.VPA'!$D:$D,'600.VPA'!$B:$B,$D73,'600.VPA'!$A:$A,"&gt;="&amp;AC$60,'600.VPA'!$A:$A,"&lt;="&amp;AC$61,'600.VPA'!$D:$D,"&gt;"&amp;0)</f>
        <v>0</v>
      </c>
      <c r="AD73" s="148">
        <f>sumifs(Boss!$D:$D,Boss!$B:$B,$D73,Boss!$A:$A,"&gt;="&amp;AD$60,Boss!$A:$A,"&lt;="&amp;AD$61,Boss!$D:$D,"&lt;"&amp;0)+sumifs(VPA.Director!$D:$D,VPA.Director!$B:$B,$D73,VPA.Director!$A:$A,"&gt;="&amp;AD$60,VPA.Director!$A:$A,"&lt;="&amp;AD$61,VPA.Director!$D:$D,"&lt;"&amp;0)+sumifs(ADC.Director!$D:$D,ADC.Director!$B:$B,$D73,ADC.Director!$A:$A,"&gt;="&amp;AD$60,ADC.Director!$A:$A,"&lt;="&amp;AD$61,ADC.Director!$D:$D,"&lt;"&amp;0)+sumifs('000'!$D:$D,'000'!$B:$B,$D73,'000'!$A:$A,"&gt;="&amp;AD$60,'000'!$A:$A,"&lt;="&amp;AD$61,'000'!$D:$D,"&lt;"&amp;0)+sumifs('500'!$D:$D,'500'!$B:$B,$D73,'500'!$A:$A,"&gt;="&amp;AD$60,'500'!$A:$A,"&lt;="&amp;AD$61,'500'!$D:$D,"&lt;"&amp;0)+sumifs('300'!$D:$D,'300'!$B:$B,$D73,'300'!$A:$A,"&gt;="&amp;AD$60,'300'!$A:$A,"&lt;="&amp;AD$61,'300'!$D:$D,"&lt;"&amp;0)+sumifs('600.VPA'!$D:$D,'600.VPA'!$B:$B,$D73,'600.VPA'!$A:$A,"&gt;="&amp;AD$60,'600.VPA'!$A:$A,"&lt;="&amp;AD$61,'600.VPA'!$D:$D,"&lt;"&amp;0)</f>
        <v>0</v>
      </c>
      <c r="AE73" s="149">
        <f>sumifs(Boss!$D:$D,Boss!$B:$B,$D73,Boss!$A:$A,"&gt;="&amp;AE$60,Boss!$A:$A,"&lt;="&amp;AE$61,Boss!$D:$D,"&gt;"&amp;0)+sumifs(VPA.Director!$D:$D,VPA.Director!$B:$B,$D73,VPA.Director!$A:$A,"&gt;="&amp;AE$60,VPA.Director!$A:$A,"&lt;="&amp;AE$61,VPA.Director!$D:$D,"&gt;"&amp;0)+sumifs(ADC.Director!$D:$D,ADC.Director!$B:$B,$D73,ADC.Director!$A:$A,"&gt;="&amp;AE$60,ADC.Director!$A:$A,"&lt;="&amp;AE$61,ADC.Director!$D:$D,"&gt;"&amp;0)+sumifs('000'!$D:$D,'000'!$B:$B,$D73,'000'!$A:$A,"&gt;="&amp;AE$60,'000'!$A:$A,"&lt;="&amp;AE$61,'000'!$D:$D,"&gt;"&amp;0)+sumifs('500'!$D:$D,'500'!$B:$B,$D73,'500'!$A:$A,"&gt;="&amp;AE$60,'500'!$A:$A,"&lt;="&amp;AE$60,'500'!$D:$D,"&gt;"&amp;0)+sumifs('300'!$D:$D,'300'!$B:$B,$D73,'300'!$A:$A,"&gt;="&amp;AE$60,'300'!$A:$A,"&lt;="&amp;AE$61,'300'!$D:$D,"&gt;"&amp;0)+sumifs('600.VPA'!$D:$D,'600.VPA'!$B:$B,$D73,'600.VPA'!$A:$A,"&gt;="&amp;AE$60,'600.VPA'!$A:$A,"&lt;="&amp;AE$61,'600.VPA'!$D:$D,"&gt;"&amp;0)</f>
        <v>0</v>
      </c>
      <c r="AF73" s="148">
        <f>sumifs(Boss!$D:$D,Boss!$B:$B,$D73,Boss!$A:$A,"&gt;="&amp;AF$60,Boss!$A:$A,"&lt;="&amp;AF$61,Boss!$D:$D,"&lt;"&amp;0)+sumifs(VPA.Director!$D:$D,VPA.Director!$B:$B,$D73,VPA.Director!$A:$A,"&gt;="&amp;AF$60,VPA.Director!$A:$A,"&lt;="&amp;AF$61,VPA.Director!$D:$D,"&lt;"&amp;0)+sumifs(ADC.Director!$D:$D,ADC.Director!$B:$B,$D73,ADC.Director!$A:$A,"&gt;="&amp;AF$60,ADC.Director!$A:$A,"&lt;="&amp;AF$61,ADC.Director!$D:$D,"&lt;"&amp;0)+sumifs('000'!$D:$D,'000'!$B:$B,$D73,'000'!$A:$A,"&gt;="&amp;AF$60,'000'!$A:$A,"&lt;="&amp;AF$61,'000'!$D:$D,"&lt;"&amp;0)+sumifs('500'!$D:$D,'500'!$B:$B,$D73,'500'!$A:$A,"&gt;="&amp;AF$60,'500'!$A:$A,"&lt;="&amp;AF$61,'500'!$D:$D,"&lt;"&amp;0)+sumifs('300'!$D:$D,'300'!$B:$B,$D73,'300'!$A:$A,"&gt;="&amp;AF$60,'300'!$A:$A,"&lt;="&amp;AF$61,'300'!$D:$D,"&lt;"&amp;0)+sumifs('600.VPA'!$D:$D,'600.VPA'!$B:$B,$D73,'600.VPA'!$A:$A,"&gt;="&amp;AF$60,'600.VPA'!$A:$A,"&lt;="&amp;AF$61,'600.VPA'!$D:$D,"&lt;"&amp;0)</f>
        <v>0</v>
      </c>
      <c r="AG73" s="149">
        <f>sumifs(Boss!$D:$D,Boss!$B:$B,$D73,Boss!$A:$A,"&gt;="&amp;AG$60,Boss!$A:$A,"&lt;="&amp;AG$61,Boss!$D:$D,"&gt;"&amp;0)+sumifs(VPA.Director!$D:$D,VPA.Director!$B:$B,$D73,VPA.Director!$A:$A,"&gt;="&amp;AG$60,VPA.Director!$A:$A,"&lt;="&amp;AG$61,VPA.Director!$D:$D,"&gt;"&amp;0)+sumifs(ADC.Director!$D:$D,ADC.Director!$B:$B,$D73,ADC.Director!$A:$A,"&gt;="&amp;AG$60,ADC.Director!$A:$A,"&lt;="&amp;AG$61,ADC.Director!$D:$D,"&gt;"&amp;0)+sumifs('000'!$D:$D,'000'!$B:$B,$D73,'000'!$A:$A,"&gt;="&amp;AG$60,'000'!$A:$A,"&lt;="&amp;AG$61,'000'!$D:$D,"&gt;"&amp;0)+sumifs('500'!$D:$D,'500'!$B:$B,$D73,'500'!$A:$A,"&gt;="&amp;AG$60,'500'!$A:$A,"&lt;="&amp;AG$60,'500'!$D:$D,"&gt;"&amp;0)+sumifs('300'!$D:$D,'300'!$B:$B,$D73,'300'!$A:$A,"&gt;="&amp;AG$60,'300'!$A:$A,"&lt;="&amp;AG$61,'300'!$D:$D,"&gt;"&amp;0)+sumifs('600.VPA'!$D:$D,'600.VPA'!$B:$B,$D73,'600.VPA'!$A:$A,"&gt;="&amp;AG$60,'600.VPA'!$A:$A,"&lt;="&amp;AG$61,'600.VPA'!$D:$D,"&gt;"&amp;0)</f>
        <v>0</v>
      </c>
      <c r="AH73" s="150">
        <f t="shared" ref="AH73:AI73" si="12">sum(I73,K73,M73,O73,Q73,S73,V73,X73,Z73,AB73,AD73,AF73)</f>
        <v>0</v>
      </c>
      <c r="AI73" s="151">
        <f t="shared" si="12"/>
        <v>0</v>
      </c>
      <c r="AJ73" s="150">
        <f t="shared" si="4"/>
        <v>0</v>
      </c>
      <c r="AK73" s="89"/>
      <c r="AL73" s="89"/>
      <c r="AM73" s="89"/>
      <c r="AN73" s="89"/>
      <c r="AO73" s="89"/>
      <c r="AP73" s="89"/>
      <c r="AQ73" s="89"/>
      <c r="AR73" s="89"/>
      <c r="AS73" s="89"/>
      <c r="AT73" s="89"/>
      <c r="AU73" s="89"/>
    </row>
    <row r="74">
      <c r="A74" s="86"/>
      <c r="B74" s="144"/>
      <c r="C74" s="152"/>
      <c r="D74" s="146" t="s">
        <v>78</v>
      </c>
      <c r="E74" s="147" t="s">
        <v>15</v>
      </c>
      <c r="F74" s="146" t="s">
        <v>146</v>
      </c>
      <c r="G74" s="146" t="s">
        <v>80</v>
      </c>
      <c r="H74" s="146" t="s">
        <v>42</v>
      </c>
      <c r="I74" s="148">
        <f>sumifs(Boss!$D:$D,Boss!$B:$B,$D74,Boss!$A:$A,"&gt;="&amp;I$60,Boss!$A:$A,"&lt;="&amp;I$61,Boss!$D:$D,"&lt;"&amp;0)+sumifs(VPA.Director!$D:$D,VPA.Director!$B:$B,$D74,VPA.Director!$A:$A,"&gt;="&amp;I$60,VPA.Director!$A:$A,"&lt;="&amp;I$61,VPA.Director!$D:$D,"&lt;"&amp;0)+sumifs(ADC.Director!$D:$D,ADC.Director!$B:$B,$D74,ADC.Director!$A:$A,"&gt;="&amp;I$60,ADC.Director!$A:$A,"&lt;="&amp;I$61,ADC.Director!$D:$D,"&lt;"&amp;0)+sumifs('000'!$D:$D,'000'!$B:$B,$D74,'000'!$A:$A,"&gt;="&amp;I$60,'000'!$A:$A,"&lt;="&amp;I$61,'000'!$D:$D,"&lt;"&amp;0)+sumifs('500'!$D:$D,'500'!$B:$B,$D74,'500'!$A:$A,"&gt;="&amp;I$60,'500'!$A:$A,"&lt;="&amp;I$61,'500'!$D:$D,"&lt;"&amp;0)+sumifs('300'!$D:$D,'300'!$B:$B,$D74,'300'!$A:$A,"&gt;="&amp;I$60,'300'!$A:$A,"&lt;="&amp;I$61,'300'!$D:$D,"&lt;"&amp;0)+sumifs('600.VPA'!$D:$D,'600.VPA'!$B:$B,$D74,'600.VPA'!$A:$A,"&gt;="&amp;I$60,'600.VPA'!$A:$A,"&lt;="&amp;I$61,'600.VPA'!$D:$D,"&lt;"&amp;0)</f>
        <v>0</v>
      </c>
      <c r="J74" s="149">
        <f>sumifs(Boss!$D:$D,Boss!$B:$B,$D74,Boss!$A:$A,"&gt;="&amp;J$60,Boss!$A:$A,"&lt;="&amp;J$61,Boss!$D:$D,"&gt;"&amp;0)+sumifs(VPA.Director!$D:$D,VPA.Director!$B:$B,$D74,VPA.Director!$A:$A,"&gt;="&amp;J$60,VPA.Director!$A:$A,"&lt;="&amp;J$61,VPA.Director!$D:$D,"&gt;"&amp;0)+sumifs(ADC.Director!$D:$D,ADC.Director!$B:$B,$D74,ADC.Director!$A:$A,"&gt;="&amp;J$60,ADC.Director!$A:$A,"&lt;="&amp;J$61,ADC.Director!$D:$D,"&gt;"&amp;0)+sumifs('000'!$D:$D,'000'!$B:$B,$D74,'000'!$A:$A,"&gt;="&amp;J$60,'000'!$A:$A,"&lt;="&amp;J$61,'000'!$D:$D,"&gt;"&amp;0)+sumifs('500'!$D:$D,'500'!$B:$B,$D74,'500'!$A:$A,"&gt;="&amp;J$60,'500'!$A:$A,"&lt;="&amp;J$60,'500'!$D:$D,"&gt;"&amp;0)+sumifs('300'!$D:$D,'300'!$B:$B,$D74,'300'!$A:$A,"&gt;="&amp;J$60,'300'!$A:$A,"&lt;="&amp;J$61,'300'!$D:$D,"&gt;"&amp;0)+sumifs('600.VPA'!$D:$D,'600.VPA'!$B:$B,$D74,'600.VPA'!$A:$A,"&gt;="&amp;J$60,'600.VPA'!$A:$A,"&lt;="&amp;J$61,'600.VPA'!$D:$D,"&gt;"&amp;0)</f>
        <v>0</v>
      </c>
      <c r="K74" s="148">
        <f>sumifs(Boss!$D:$D,Boss!$B:$B,$D74,Boss!$A:$A,"&gt;="&amp;K$60,Boss!$A:$A,"&lt;="&amp;K$61,Boss!$D:$D,"&lt;"&amp;0)+sumifs(VPA.Director!$D:$D,VPA.Director!$B:$B,$D74,VPA.Director!$A:$A,"&gt;="&amp;K$60,VPA.Director!$A:$A,"&lt;="&amp;K$61,VPA.Director!$D:$D,"&lt;"&amp;0)+sumifs(ADC.Director!$D:$D,ADC.Director!$B:$B,$D74,ADC.Director!$A:$A,"&gt;="&amp;K$60,ADC.Director!$A:$A,"&lt;="&amp;K$61,ADC.Director!$D:$D,"&lt;"&amp;0)+sumifs('000'!$D:$D,'000'!$B:$B,$D74,'000'!$A:$A,"&gt;="&amp;K$60,'000'!$A:$A,"&lt;="&amp;K$61,'000'!$D:$D,"&lt;"&amp;0)+sumifs('500'!$D:$D,'500'!$B:$B,$D74,'500'!$A:$A,"&gt;="&amp;K$60,'500'!$A:$A,"&lt;="&amp;K$61,'500'!$D:$D,"&lt;"&amp;0)+sumifs('300'!$D:$D,'300'!$B:$B,$D74,'300'!$A:$A,"&gt;="&amp;K$60,'300'!$A:$A,"&lt;="&amp;K$61,'300'!$D:$D,"&lt;"&amp;0)+sumifs('600.VPA'!$D:$D,'600.VPA'!$B:$B,$D74,'600.VPA'!$A:$A,"&gt;="&amp;K$60,'600.VPA'!$A:$A,"&lt;="&amp;K$61,'600.VPA'!$D:$D,"&lt;"&amp;0)</f>
        <v>0</v>
      </c>
      <c r="L74" s="149">
        <f>sumifs(Boss!$D:$D,Boss!$B:$B,$D74,Boss!$A:$A,"&gt;="&amp;L$60,Boss!$A:$A,"&lt;="&amp;L$61,Boss!$D:$D,"&gt;"&amp;0)+sumifs(VPA.Director!$D:$D,VPA.Director!$B:$B,$D74,VPA.Director!$A:$A,"&gt;="&amp;L$60,VPA.Director!$A:$A,"&lt;="&amp;L$61,VPA.Director!$D:$D,"&gt;"&amp;0)+sumifs(ADC.Director!$D:$D,ADC.Director!$B:$B,$D74,ADC.Director!$A:$A,"&gt;="&amp;L$60,ADC.Director!$A:$A,"&lt;="&amp;L$61,ADC.Director!$D:$D,"&gt;"&amp;0)+sumifs('000'!$D:$D,'000'!$B:$B,$D74,'000'!$A:$A,"&gt;="&amp;L$60,'000'!$A:$A,"&lt;="&amp;L$61,'000'!$D:$D,"&gt;"&amp;0)+sumifs('500'!$D:$D,'500'!$B:$B,$D74,'500'!$A:$A,"&gt;="&amp;L$60,'500'!$A:$A,"&lt;="&amp;L$60,'500'!$D:$D,"&gt;"&amp;0)+sumifs('300'!$D:$D,'300'!$B:$B,$D74,'300'!$A:$A,"&gt;="&amp;L$60,'300'!$A:$A,"&lt;="&amp;L$61,'300'!$D:$D,"&gt;"&amp;0)+sumifs('600.VPA'!$D:$D,'600.VPA'!$B:$B,$D74,'600.VPA'!$A:$A,"&gt;="&amp;L$60,'600.VPA'!$A:$A,"&lt;="&amp;L$61,'600.VPA'!$D:$D,"&gt;"&amp;0)</f>
        <v>0</v>
      </c>
      <c r="M74" s="148">
        <f>sumifs(Boss!$D:$D,Boss!$B:$B,$D74,Boss!$A:$A,"&gt;="&amp;M$60,Boss!$A:$A,"&lt;="&amp;M$61,Boss!$D:$D,"&lt;"&amp;0)+sumifs(VPA.Director!$D:$D,VPA.Director!$B:$B,$D74,VPA.Director!$A:$A,"&gt;="&amp;M$60,VPA.Director!$A:$A,"&lt;="&amp;M$61,VPA.Director!$D:$D,"&lt;"&amp;0)+sumifs(ADC.Director!$D:$D,ADC.Director!$B:$B,$D74,ADC.Director!$A:$A,"&gt;="&amp;M$60,ADC.Director!$A:$A,"&lt;="&amp;M$61,ADC.Director!$D:$D,"&lt;"&amp;0)+sumifs('000'!$D:$D,'000'!$B:$B,$D74,'000'!$A:$A,"&gt;="&amp;M$60,'000'!$A:$A,"&lt;="&amp;M$61,'000'!$D:$D,"&lt;"&amp;0)+sumifs('500'!$D:$D,'500'!$B:$B,$D74,'500'!$A:$A,"&gt;="&amp;M$60,'500'!$A:$A,"&lt;="&amp;M$61,'500'!$D:$D,"&lt;"&amp;0)+sumifs('300'!$D:$D,'300'!$B:$B,$D74,'300'!$A:$A,"&gt;="&amp;M$60,'300'!$A:$A,"&lt;="&amp;M$61,'300'!$D:$D,"&lt;"&amp;0)+sumifs('600.VPA'!$D:$D,'600.VPA'!$B:$B,$D74,'600.VPA'!$A:$A,"&gt;="&amp;M$60,'600.VPA'!$A:$A,"&lt;="&amp;M$61,'600.VPA'!$D:$D,"&lt;"&amp;0)</f>
        <v>0</v>
      </c>
      <c r="N74" s="149">
        <f>sumifs(Boss!$D:$D,Boss!$B:$B,$D74,Boss!$A:$A,"&gt;="&amp;N$60,Boss!$A:$A,"&lt;="&amp;N$61,Boss!$D:$D,"&gt;"&amp;0)+sumifs(VPA.Director!$D:$D,VPA.Director!$B:$B,$D74,VPA.Director!$A:$A,"&gt;="&amp;N$60,VPA.Director!$A:$A,"&lt;="&amp;N$61,VPA.Director!$D:$D,"&gt;"&amp;0)+sumifs(ADC.Director!$D:$D,ADC.Director!$B:$B,$D74,ADC.Director!$A:$A,"&gt;="&amp;N$60,ADC.Director!$A:$A,"&lt;="&amp;N$61,ADC.Director!$D:$D,"&gt;"&amp;0)+sumifs('000'!$D:$D,'000'!$B:$B,$D74,'000'!$A:$A,"&gt;="&amp;N$60,'000'!$A:$A,"&lt;="&amp;N$61,'000'!$D:$D,"&gt;"&amp;0)+sumifs('500'!$D:$D,'500'!$B:$B,$D74,'500'!$A:$A,"&gt;="&amp;N$60,'500'!$A:$A,"&lt;="&amp;N$60,'500'!$D:$D,"&gt;"&amp;0)+sumifs('300'!$D:$D,'300'!$B:$B,$D74,'300'!$A:$A,"&gt;="&amp;N$60,'300'!$A:$A,"&lt;="&amp;N$61,'300'!$D:$D,"&gt;"&amp;0)+sumifs('600.VPA'!$D:$D,'600.VPA'!$B:$B,$D74,'600.VPA'!$A:$A,"&gt;="&amp;N$60,'600.VPA'!$A:$A,"&lt;="&amp;N$61,'600.VPA'!$D:$D,"&gt;"&amp;0)</f>
        <v>0</v>
      </c>
      <c r="O74" s="148">
        <f>sumifs(Boss!$D:$D,Boss!$B:$B,$D74,Boss!$A:$A,"&gt;="&amp;O$60,Boss!$A:$A,"&lt;="&amp;O$61,Boss!$D:$D,"&lt;"&amp;0)+sumifs(VPA.Director!$D:$D,VPA.Director!$B:$B,$D74,VPA.Director!$A:$A,"&gt;="&amp;O$60,VPA.Director!$A:$A,"&lt;="&amp;O$61,VPA.Director!$D:$D,"&lt;"&amp;0)+sumifs(ADC.Director!$D:$D,ADC.Director!$B:$B,$D74,ADC.Director!$A:$A,"&gt;="&amp;O$60,ADC.Director!$A:$A,"&lt;="&amp;O$61,ADC.Director!$D:$D,"&lt;"&amp;0)+sumifs('000'!$D:$D,'000'!$B:$B,$D74,'000'!$A:$A,"&gt;="&amp;O$60,'000'!$A:$A,"&lt;="&amp;O$61,'000'!$D:$D,"&lt;"&amp;0)+sumifs('500'!$D:$D,'500'!$B:$B,$D74,'500'!$A:$A,"&gt;="&amp;O$60,'500'!$A:$A,"&lt;="&amp;O$61,'500'!$D:$D,"&lt;"&amp;0)+sumifs('300'!$D:$D,'300'!$B:$B,$D74,'300'!$A:$A,"&gt;="&amp;O$60,'300'!$A:$A,"&lt;="&amp;O$61,'300'!$D:$D,"&lt;"&amp;0)+sumifs('600.VPA'!$D:$D,'600.VPA'!$B:$B,$D74,'600.VPA'!$A:$A,"&gt;="&amp;O$60,'600.VPA'!$A:$A,"&lt;="&amp;O$61,'600.VPA'!$D:$D,"&lt;"&amp;0)</f>
        <v>0</v>
      </c>
      <c r="P74" s="149">
        <f>sumifs(Boss!$D:$D,Boss!$B:$B,$D74,Boss!$A:$A,"&gt;="&amp;P$60,Boss!$A:$A,"&lt;="&amp;P$61,Boss!$D:$D,"&gt;"&amp;0)+sumifs(VPA.Director!$D:$D,VPA.Director!$B:$B,$D74,VPA.Director!$A:$A,"&gt;="&amp;P$60,VPA.Director!$A:$A,"&lt;="&amp;P$61,VPA.Director!$D:$D,"&gt;"&amp;0)+sumifs(ADC.Director!$D:$D,ADC.Director!$B:$B,$D74,ADC.Director!$A:$A,"&gt;="&amp;P$60,ADC.Director!$A:$A,"&lt;="&amp;P$61,ADC.Director!$D:$D,"&gt;"&amp;0)+sumifs('000'!$D:$D,'000'!$B:$B,$D74,'000'!$A:$A,"&gt;="&amp;P$60,'000'!$A:$A,"&lt;="&amp;P$61,'000'!$D:$D,"&gt;"&amp;0)+sumifs('500'!$D:$D,'500'!$B:$B,$D74,'500'!$A:$A,"&gt;="&amp;P$60,'500'!$A:$A,"&lt;="&amp;P$60,'500'!$D:$D,"&gt;"&amp;0)+sumifs('300'!$D:$D,'300'!$B:$B,$D74,'300'!$A:$A,"&gt;="&amp;P$60,'300'!$A:$A,"&lt;="&amp;P$61,'300'!$D:$D,"&gt;"&amp;0)+sumifs('600.VPA'!$D:$D,'600.VPA'!$B:$B,$D74,'600.VPA'!$A:$A,"&gt;="&amp;P$60,'600.VPA'!$A:$A,"&lt;="&amp;P$61,'600.VPA'!$D:$D,"&gt;"&amp;0)</f>
        <v>0</v>
      </c>
      <c r="Q74" s="148">
        <f>sumifs(Boss!$D:$D,Boss!$B:$B,$D74,Boss!$A:$A,"&gt;="&amp;Q$60,Boss!$A:$A,"&lt;="&amp;Q$61,Boss!$D:$D,"&lt;"&amp;0)+sumifs(VPA.Director!$D:$D,VPA.Director!$B:$B,$D74,VPA.Director!$A:$A,"&gt;="&amp;Q$60,VPA.Director!$A:$A,"&lt;="&amp;Q$61,VPA.Director!$D:$D,"&lt;"&amp;0)+sumifs(ADC.Director!$D:$D,ADC.Director!$B:$B,$D74,ADC.Director!$A:$A,"&gt;="&amp;Q$60,ADC.Director!$A:$A,"&lt;="&amp;Q$61,ADC.Director!$D:$D,"&lt;"&amp;0)+sumifs('000'!$D:$D,'000'!$B:$B,$D74,'000'!$A:$A,"&gt;="&amp;Q$60,'000'!$A:$A,"&lt;="&amp;Q$61,'000'!$D:$D,"&lt;"&amp;0)+sumifs('500'!$D:$D,'500'!$B:$B,$D74,'500'!$A:$A,"&gt;="&amp;Q$60,'500'!$A:$A,"&lt;="&amp;Q$61,'500'!$D:$D,"&lt;"&amp;0)+sumifs('300'!$D:$D,'300'!$B:$B,$D74,'300'!$A:$A,"&gt;="&amp;Q$60,'300'!$A:$A,"&lt;="&amp;Q$61,'300'!$D:$D,"&lt;"&amp;0)+sumifs('600.VPA'!$D:$D,'600.VPA'!$B:$B,$D74,'600.VPA'!$A:$A,"&gt;="&amp;Q$60,'600.VPA'!$A:$A,"&lt;="&amp;Q$61,'600.VPA'!$D:$D,"&lt;"&amp;0)</f>
        <v>0</v>
      </c>
      <c r="R74" s="149">
        <f>sumifs(Boss!$D:$D,Boss!$B:$B,$D74,Boss!$A:$A,"&gt;="&amp;R$60,Boss!$A:$A,"&lt;="&amp;R$61,Boss!$D:$D,"&gt;"&amp;0)+sumifs(VPA.Director!$D:$D,VPA.Director!$B:$B,$D74,VPA.Director!$A:$A,"&gt;="&amp;R$60,VPA.Director!$A:$A,"&lt;="&amp;R$61,VPA.Director!$D:$D,"&gt;"&amp;0)+sumifs(ADC.Director!$D:$D,ADC.Director!$B:$B,$D74,ADC.Director!$A:$A,"&gt;="&amp;R$60,ADC.Director!$A:$A,"&lt;="&amp;R$61,ADC.Director!$D:$D,"&gt;"&amp;0)+sumifs('000'!$D:$D,'000'!$B:$B,$D74,'000'!$A:$A,"&gt;="&amp;R$60,'000'!$A:$A,"&lt;="&amp;R$61,'000'!$D:$D,"&gt;"&amp;0)+sumifs('500'!$D:$D,'500'!$B:$B,$D74,'500'!$A:$A,"&gt;="&amp;R$60,'500'!$A:$A,"&lt;="&amp;R$60,'500'!$D:$D,"&gt;"&amp;0)+sumifs('300'!$D:$D,'300'!$B:$B,$D74,'300'!$A:$A,"&gt;="&amp;R$60,'300'!$A:$A,"&lt;="&amp;R$61,'300'!$D:$D,"&gt;"&amp;0)+sumifs('600.VPA'!$D:$D,'600.VPA'!$B:$B,$D74,'600.VPA'!$A:$A,"&gt;="&amp;R$60,'600.VPA'!$A:$A,"&lt;="&amp;R$61,'600.VPA'!$D:$D,"&gt;"&amp;0)</f>
        <v>0</v>
      </c>
      <c r="S74" s="148">
        <f>sumifs(Boss!$D:$D,Boss!$B:$B,$D74,Boss!$A:$A,"&gt;="&amp;S$60,Boss!$A:$A,"&lt;="&amp;S$61,Boss!$D:$D,"&lt;"&amp;0)+sumifs(VPA.Director!$D:$D,VPA.Director!$B:$B,$D74,VPA.Director!$A:$A,"&gt;="&amp;S$60,VPA.Director!$A:$A,"&lt;="&amp;S$61,VPA.Director!$D:$D,"&lt;"&amp;0)+sumifs(ADC.Director!$D:$D,ADC.Director!$B:$B,$D74,ADC.Director!$A:$A,"&gt;="&amp;S$60,ADC.Director!$A:$A,"&lt;="&amp;S$61,ADC.Director!$D:$D,"&lt;"&amp;0)+sumifs('000'!$D:$D,'000'!$B:$B,$D74,'000'!$A:$A,"&gt;="&amp;S$60,'000'!$A:$A,"&lt;="&amp;S$61,'000'!$D:$D,"&lt;"&amp;0)+sumifs('500'!$D:$D,'500'!$B:$B,$D74,'500'!$A:$A,"&gt;="&amp;S$60,'500'!$A:$A,"&lt;="&amp;S$61,'500'!$D:$D,"&lt;"&amp;0)+sumifs('300'!$D:$D,'300'!$B:$B,$D74,'300'!$A:$A,"&gt;="&amp;S$60,'300'!$A:$A,"&lt;="&amp;S$61,'300'!$D:$D,"&lt;"&amp;0)+sumifs('600.VPA'!$D:$D,'600.VPA'!$B:$B,$D74,'600.VPA'!$A:$A,"&gt;="&amp;S$60,'600.VPA'!$A:$A,"&lt;="&amp;S$61,'600.VPA'!$D:$D,"&lt;"&amp;0)</f>
        <v>0</v>
      </c>
      <c r="T74" s="149">
        <f>sumifs(Boss!$D:$D,Boss!$B:$B,$D74,Boss!$A:$A,"&gt;="&amp;T$60,Boss!$A:$A,"&lt;="&amp;T$61,Boss!$D:$D,"&gt;"&amp;0)+sumifs(VPA.Director!$D:$D,VPA.Director!$B:$B,$D74,VPA.Director!$A:$A,"&gt;="&amp;T$60,VPA.Director!$A:$A,"&lt;="&amp;T$61,VPA.Director!$D:$D,"&gt;"&amp;0)+sumifs(ADC.Director!$D:$D,ADC.Director!$B:$B,$D74,ADC.Director!$A:$A,"&gt;="&amp;T$60,ADC.Director!$A:$A,"&lt;="&amp;T$61,ADC.Director!$D:$D,"&gt;"&amp;0)+sumifs('000'!$D:$D,'000'!$B:$B,$D74,'000'!$A:$A,"&gt;="&amp;T$60,'000'!$A:$A,"&lt;="&amp;T$61,'000'!$D:$D,"&gt;"&amp;0)+sumifs('500'!$D:$D,'500'!$B:$B,$D74,'500'!$A:$A,"&gt;="&amp;T$60,'500'!$A:$A,"&lt;="&amp;T$60,'500'!$D:$D,"&gt;"&amp;0)+sumifs('300'!$D:$D,'300'!$B:$B,$D74,'300'!$A:$A,"&gt;="&amp;T$60,'300'!$A:$A,"&lt;="&amp;T$61,'300'!$D:$D,"&gt;"&amp;0)+sumifs('600.VPA'!$D:$D,'600.VPA'!$B:$B,$D74,'600.VPA'!$A:$A,"&gt;="&amp;T$60,'600.VPA'!$A:$A,"&lt;="&amp;T$61,'600.VPA'!$D:$D,"&gt;"&amp;0)</f>
        <v>0</v>
      </c>
      <c r="U74" s="144"/>
      <c r="V74" s="148">
        <f>sumifs(Boss!$D:$D,Boss!$B:$B,$D74,Boss!$A:$A,"&gt;="&amp;V$60,Boss!$A:$A,"&lt;="&amp;V$61,Boss!$D:$D,"&lt;"&amp;0)+sumifs(VPA.Director!$D:$D,VPA.Director!$B:$B,$D74,VPA.Director!$A:$A,"&gt;="&amp;V$60,VPA.Director!$A:$A,"&lt;="&amp;V$61,VPA.Director!$D:$D,"&lt;"&amp;0)+sumifs(ADC.Director!$D:$D,ADC.Director!$B:$B,$D74,ADC.Director!$A:$A,"&gt;="&amp;V$60,ADC.Director!$A:$A,"&lt;="&amp;V$61,ADC.Director!$D:$D,"&lt;"&amp;0)+sumifs('000'!$D:$D,'000'!$B:$B,$D74,'000'!$A:$A,"&gt;="&amp;V$60,'000'!$A:$A,"&lt;="&amp;V$61,'000'!$D:$D,"&lt;"&amp;0)+sumifs('500'!$D:$D,'500'!$B:$B,$D74,'500'!$A:$A,"&gt;="&amp;V$60,'500'!$A:$A,"&lt;="&amp;V$61,'500'!$D:$D,"&lt;"&amp;0)+sumifs('300'!$D:$D,'300'!$B:$B,$D74,'300'!$A:$A,"&gt;="&amp;V$60,'300'!$A:$A,"&lt;="&amp;V$61,'300'!$D:$D,"&lt;"&amp;0)+sumifs('600.VPA'!$D:$D,'600.VPA'!$B:$B,$D74,'600.VPA'!$A:$A,"&gt;="&amp;V$60,'600.VPA'!$A:$A,"&lt;="&amp;V$61,'600.VPA'!$D:$D,"&lt;"&amp;0)</f>
        <v>0</v>
      </c>
      <c r="W74" s="149">
        <f>sumifs(Boss!$D:$D,Boss!$B:$B,$D74,Boss!$A:$A,"&gt;="&amp;W$60,Boss!$A:$A,"&lt;="&amp;W$61,Boss!$D:$D,"&gt;"&amp;0)+sumifs(VPA.Director!$D:$D,VPA.Director!$B:$B,$D74,VPA.Director!$A:$A,"&gt;="&amp;W$60,VPA.Director!$A:$A,"&lt;="&amp;W$61,VPA.Director!$D:$D,"&gt;"&amp;0)+sumifs(ADC.Director!$D:$D,ADC.Director!$B:$B,$D74,ADC.Director!$A:$A,"&gt;="&amp;W$60,ADC.Director!$A:$A,"&lt;="&amp;W$61,ADC.Director!$D:$D,"&gt;"&amp;0)+sumifs('000'!$D:$D,'000'!$B:$B,$D74,'000'!$A:$A,"&gt;="&amp;W$60,'000'!$A:$A,"&lt;="&amp;W$61,'000'!$D:$D,"&gt;"&amp;0)+sumifs('500'!$D:$D,'500'!$B:$B,$D74,'500'!$A:$A,"&gt;="&amp;W$60,'500'!$A:$A,"&lt;="&amp;W$60,'500'!$D:$D,"&gt;"&amp;0)+sumifs('300'!$D:$D,'300'!$B:$B,$D74,'300'!$A:$A,"&gt;="&amp;W$60,'300'!$A:$A,"&lt;="&amp;W$61,'300'!$D:$D,"&gt;"&amp;0)+sumifs('600.VPA'!$D:$D,'600.VPA'!$B:$B,$D74,'600.VPA'!$A:$A,"&gt;="&amp;W$60,'600.VPA'!$A:$A,"&lt;="&amp;W$61,'600.VPA'!$D:$D,"&gt;"&amp;0)</f>
        <v>0</v>
      </c>
      <c r="X74" s="148">
        <f>sumifs(Boss!$D:$D,Boss!$B:$B,$D74,Boss!$A:$A,"&gt;="&amp;X$60,Boss!$A:$A,"&lt;="&amp;X$61,Boss!$D:$D,"&lt;"&amp;0)+sumifs(VPA.Director!$D:$D,VPA.Director!$B:$B,$D74,VPA.Director!$A:$A,"&gt;="&amp;X$60,VPA.Director!$A:$A,"&lt;="&amp;X$61,VPA.Director!$D:$D,"&lt;"&amp;0)+sumifs(ADC.Director!$D:$D,ADC.Director!$B:$B,$D74,ADC.Director!$A:$A,"&gt;="&amp;X$60,ADC.Director!$A:$A,"&lt;="&amp;X$61,ADC.Director!$D:$D,"&lt;"&amp;0)+sumifs('000'!$D:$D,'000'!$B:$B,$D74,'000'!$A:$A,"&gt;="&amp;X$60,'000'!$A:$A,"&lt;="&amp;X$61,'000'!$D:$D,"&lt;"&amp;0)+sumifs('500'!$D:$D,'500'!$B:$B,$D74,'500'!$A:$A,"&gt;="&amp;X$60,'500'!$A:$A,"&lt;="&amp;X$61,'500'!$D:$D,"&lt;"&amp;0)+sumifs('300'!$D:$D,'300'!$B:$B,$D74,'300'!$A:$A,"&gt;="&amp;X$60,'300'!$A:$A,"&lt;="&amp;X$61,'300'!$D:$D,"&lt;"&amp;0)+sumifs('600.VPA'!$D:$D,'600.VPA'!$B:$B,$D74,'600.VPA'!$A:$A,"&gt;="&amp;X$60,'600.VPA'!$A:$A,"&lt;="&amp;X$61,'600.VPA'!$D:$D,"&lt;"&amp;0)</f>
        <v>0</v>
      </c>
      <c r="Y74" s="149">
        <f>sumifs(Boss!$D:$D,Boss!$B:$B,$D74,Boss!$A:$A,"&gt;="&amp;Y$60,Boss!$A:$A,"&lt;="&amp;Y$61,Boss!$D:$D,"&gt;"&amp;0)+sumifs(VPA.Director!$D:$D,VPA.Director!$B:$B,$D74,VPA.Director!$A:$A,"&gt;="&amp;Y$60,VPA.Director!$A:$A,"&lt;="&amp;Y$61,VPA.Director!$D:$D,"&gt;"&amp;0)+sumifs(ADC.Director!$D:$D,ADC.Director!$B:$B,$D74,ADC.Director!$A:$A,"&gt;="&amp;Y$60,ADC.Director!$A:$A,"&lt;="&amp;Y$61,ADC.Director!$D:$D,"&gt;"&amp;0)+sumifs('000'!$D:$D,'000'!$B:$B,$D74,'000'!$A:$A,"&gt;="&amp;Y$60,'000'!$A:$A,"&lt;="&amp;Y$61,'000'!$D:$D,"&gt;"&amp;0)+sumifs('500'!$D:$D,'500'!$B:$B,$D74,'500'!$A:$A,"&gt;="&amp;Y$60,'500'!$A:$A,"&lt;="&amp;Y$60,'500'!$D:$D,"&gt;"&amp;0)+sumifs('300'!$D:$D,'300'!$B:$B,$D74,'300'!$A:$A,"&gt;="&amp;Y$60,'300'!$A:$A,"&lt;="&amp;Y$61,'300'!$D:$D,"&gt;"&amp;0)+sumifs('600.VPA'!$D:$D,'600.VPA'!$B:$B,$D74,'600.VPA'!$A:$A,"&gt;="&amp;Y$60,'600.VPA'!$A:$A,"&lt;="&amp;Y$61,'600.VPA'!$D:$D,"&gt;"&amp;0)</f>
        <v>0</v>
      </c>
      <c r="Z74" s="148">
        <f>sumifs(Boss!$D:$D,Boss!$B:$B,$D74,Boss!$A:$A,"&gt;="&amp;Z$60,Boss!$A:$A,"&lt;="&amp;Z$61,Boss!$D:$D,"&lt;"&amp;0)+sumifs(VPA.Director!$D:$D,VPA.Director!$B:$B,$D74,VPA.Director!$A:$A,"&gt;="&amp;Z$60,VPA.Director!$A:$A,"&lt;="&amp;Z$61,VPA.Director!$D:$D,"&lt;"&amp;0)+sumifs(ADC.Director!$D:$D,ADC.Director!$B:$B,$D74,ADC.Director!$A:$A,"&gt;="&amp;Z$60,ADC.Director!$A:$A,"&lt;="&amp;Z$61,ADC.Director!$D:$D,"&lt;"&amp;0)+sumifs('000'!$D:$D,'000'!$B:$B,$D74,'000'!$A:$A,"&gt;="&amp;Z$60,'000'!$A:$A,"&lt;="&amp;Z$61,'000'!$D:$D,"&lt;"&amp;0)+sumifs('500'!$D:$D,'500'!$B:$B,$D74,'500'!$A:$A,"&gt;="&amp;Z$60,'500'!$A:$A,"&lt;="&amp;Z$61,'500'!$D:$D,"&lt;"&amp;0)+sumifs('300'!$D:$D,'300'!$B:$B,$D74,'300'!$A:$A,"&gt;="&amp;Z$60,'300'!$A:$A,"&lt;="&amp;Z$61,'300'!$D:$D,"&lt;"&amp;0)+sumifs('600.VPA'!$D:$D,'600.VPA'!$B:$B,$D74,'600.VPA'!$A:$A,"&gt;="&amp;Z$60,'600.VPA'!$A:$A,"&lt;="&amp;Z$61,'600.VPA'!$D:$D,"&lt;"&amp;0)</f>
        <v>0</v>
      </c>
      <c r="AA74" s="149">
        <f>sumifs(Boss!$D:$D,Boss!$B:$B,$D74,Boss!$A:$A,"&gt;="&amp;AA$60,Boss!$A:$A,"&lt;="&amp;AA$61,Boss!$D:$D,"&gt;"&amp;0)+sumifs(VPA.Director!$D:$D,VPA.Director!$B:$B,$D74,VPA.Director!$A:$A,"&gt;="&amp;AA$60,VPA.Director!$A:$A,"&lt;="&amp;AA$61,VPA.Director!$D:$D,"&gt;"&amp;0)+sumifs(ADC.Director!$D:$D,ADC.Director!$B:$B,$D74,ADC.Director!$A:$A,"&gt;="&amp;AA$60,ADC.Director!$A:$A,"&lt;="&amp;AA$61,ADC.Director!$D:$D,"&gt;"&amp;0)+sumifs('000'!$D:$D,'000'!$B:$B,$D74,'000'!$A:$A,"&gt;="&amp;AA$60,'000'!$A:$A,"&lt;="&amp;AA$61,'000'!$D:$D,"&gt;"&amp;0)+sumifs('500'!$D:$D,'500'!$B:$B,$D74,'500'!$A:$A,"&gt;="&amp;AA$60,'500'!$A:$A,"&lt;="&amp;AA$60,'500'!$D:$D,"&gt;"&amp;0)+sumifs('300'!$D:$D,'300'!$B:$B,$D74,'300'!$A:$A,"&gt;="&amp;AA$60,'300'!$A:$A,"&lt;="&amp;AA$61,'300'!$D:$D,"&gt;"&amp;0)+sumifs('600.VPA'!$D:$D,'600.VPA'!$B:$B,$D74,'600.VPA'!$A:$A,"&gt;="&amp;AA$60,'600.VPA'!$A:$A,"&lt;="&amp;AA$61,'600.VPA'!$D:$D,"&gt;"&amp;0)</f>
        <v>0</v>
      </c>
      <c r="AB74" s="148">
        <f>sumifs(Boss!$D:$D,Boss!$B:$B,$D74,Boss!$A:$A,"&gt;="&amp;AB$60,Boss!$A:$A,"&lt;="&amp;AB$61,Boss!$D:$D,"&lt;"&amp;0)+sumifs(VPA.Director!$D:$D,VPA.Director!$B:$B,$D74,VPA.Director!$A:$A,"&gt;="&amp;AB$60,VPA.Director!$A:$A,"&lt;="&amp;AB$61,VPA.Director!$D:$D,"&lt;"&amp;0)+sumifs(ADC.Director!$D:$D,ADC.Director!$B:$B,$D74,ADC.Director!$A:$A,"&gt;="&amp;AB$60,ADC.Director!$A:$A,"&lt;="&amp;AB$61,ADC.Director!$D:$D,"&lt;"&amp;0)+sumifs('000'!$D:$D,'000'!$B:$B,$D74,'000'!$A:$A,"&gt;="&amp;AB$60,'000'!$A:$A,"&lt;="&amp;AB$61,'000'!$D:$D,"&lt;"&amp;0)+sumifs('500'!$D:$D,'500'!$B:$B,$D74,'500'!$A:$A,"&gt;="&amp;AB$60,'500'!$A:$A,"&lt;="&amp;AB$61,'500'!$D:$D,"&lt;"&amp;0)+sumifs('300'!$D:$D,'300'!$B:$B,$D74,'300'!$A:$A,"&gt;="&amp;AB$60,'300'!$A:$A,"&lt;="&amp;AB$61,'300'!$D:$D,"&lt;"&amp;0)+sumifs('600.VPA'!$D:$D,'600.VPA'!$B:$B,$D74,'600.VPA'!$A:$A,"&gt;="&amp;AB$60,'600.VPA'!$A:$A,"&lt;="&amp;AB$61,'600.VPA'!$D:$D,"&lt;"&amp;0)</f>
        <v>0</v>
      </c>
      <c r="AC74" s="149">
        <f>sumifs(Boss!$D:$D,Boss!$B:$B,$D74,Boss!$A:$A,"&gt;="&amp;AC$60,Boss!$A:$A,"&lt;="&amp;AC$61,Boss!$D:$D,"&gt;"&amp;0)+sumifs(VPA.Director!$D:$D,VPA.Director!$B:$B,$D74,VPA.Director!$A:$A,"&gt;="&amp;AC$60,VPA.Director!$A:$A,"&lt;="&amp;AC$61,VPA.Director!$D:$D,"&gt;"&amp;0)+sumifs(ADC.Director!$D:$D,ADC.Director!$B:$B,$D74,ADC.Director!$A:$A,"&gt;="&amp;AC$60,ADC.Director!$A:$A,"&lt;="&amp;AC$61,ADC.Director!$D:$D,"&gt;"&amp;0)+sumifs('000'!$D:$D,'000'!$B:$B,$D74,'000'!$A:$A,"&gt;="&amp;AC$60,'000'!$A:$A,"&lt;="&amp;AC$61,'000'!$D:$D,"&gt;"&amp;0)+sumifs('500'!$D:$D,'500'!$B:$B,$D74,'500'!$A:$A,"&gt;="&amp;AC$60,'500'!$A:$A,"&lt;="&amp;AC$60,'500'!$D:$D,"&gt;"&amp;0)+sumifs('300'!$D:$D,'300'!$B:$B,$D74,'300'!$A:$A,"&gt;="&amp;AC$60,'300'!$A:$A,"&lt;="&amp;AC$61,'300'!$D:$D,"&gt;"&amp;0)+sumifs('600.VPA'!$D:$D,'600.VPA'!$B:$B,$D74,'600.VPA'!$A:$A,"&gt;="&amp;AC$60,'600.VPA'!$A:$A,"&lt;="&amp;AC$61,'600.VPA'!$D:$D,"&gt;"&amp;0)</f>
        <v>0</v>
      </c>
      <c r="AD74" s="148">
        <f>sumifs(Boss!$D:$D,Boss!$B:$B,$D74,Boss!$A:$A,"&gt;="&amp;AD$60,Boss!$A:$A,"&lt;="&amp;AD$61,Boss!$D:$D,"&lt;"&amp;0)+sumifs(VPA.Director!$D:$D,VPA.Director!$B:$B,$D74,VPA.Director!$A:$A,"&gt;="&amp;AD$60,VPA.Director!$A:$A,"&lt;="&amp;AD$61,VPA.Director!$D:$D,"&lt;"&amp;0)+sumifs(ADC.Director!$D:$D,ADC.Director!$B:$B,$D74,ADC.Director!$A:$A,"&gt;="&amp;AD$60,ADC.Director!$A:$A,"&lt;="&amp;AD$61,ADC.Director!$D:$D,"&lt;"&amp;0)+sumifs('000'!$D:$D,'000'!$B:$B,$D74,'000'!$A:$A,"&gt;="&amp;AD$60,'000'!$A:$A,"&lt;="&amp;AD$61,'000'!$D:$D,"&lt;"&amp;0)+sumifs('500'!$D:$D,'500'!$B:$B,$D74,'500'!$A:$A,"&gt;="&amp;AD$60,'500'!$A:$A,"&lt;="&amp;AD$61,'500'!$D:$D,"&lt;"&amp;0)+sumifs('300'!$D:$D,'300'!$B:$B,$D74,'300'!$A:$A,"&gt;="&amp;AD$60,'300'!$A:$A,"&lt;="&amp;AD$61,'300'!$D:$D,"&lt;"&amp;0)+sumifs('600.VPA'!$D:$D,'600.VPA'!$B:$B,$D74,'600.VPA'!$A:$A,"&gt;="&amp;AD$60,'600.VPA'!$A:$A,"&lt;="&amp;AD$61,'600.VPA'!$D:$D,"&lt;"&amp;0)</f>
        <v>0</v>
      </c>
      <c r="AE74" s="149">
        <f>sumifs(Boss!$D:$D,Boss!$B:$B,$D74,Boss!$A:$A,"&gt;="&amp;AE$60,Boss!$A:$A,"&lt;="&amp;AE$61,Boss!$D:$D,"&gt;"&amp;0)+sumifs(VPA.Director!$D:$D,VPA.Director!$B:$B,$D74,VPA.Director!$A:$A,"&gt;="&amp;AE$60,VPA.Director!$A:$A,"&lt;="&amp;AE$61,VPA.Director!$D:$D,"&gt;"&amp;0)+sumifs(ADC.Director!$D:$D,ADC.Director!$B:$B,$D74,ADC.Director!$A:$A,"&gt;="&amp;AE$60,ADC.Director!$A:$A,"&lt;="&amp;AE$61,ADC.Director!$D:$D,"&gt;"&amp;0)+sumifs('000'!$D:$D,'000'!$B:$B,$D74,'000'!$A:$A,"&gt;="&amp;AE$60,'000'!$A:$A,"&lt;="&amp;AE$61,'000'!$D:$D,"&gt;"&amp;0)+sumifs('500'!$D:$D,'500'!$B:$B,$D74,'500'!$A:$A,"&gt;="&amp;AE$60,'500'!$A:$A,"&lt;="&amp;AE$60,'500'!$D:$D,"&gt;"&amp;0)+sumifs('300'!$D:$D,'300'!$B:$B,$D74,'300'!$A:$A,"&gt;="&amp;AE$60,'300'!$A:$A,"&lt;="&amp;AE$61,'300'!$D:$D,"&gt;"&amp;0)+sumifs('600.VPA'!$D:$D,'600.VPA'!$B:$B,$D74,'600.VPA'!$A:$A,"&gt;="&amp;AE$60,'600.VPA'!$A:$A,"&lt;="&amp;AE$61,'600.VPA'!$D:$D,"&gt;"&amp;0)</f>
        <v>0</v>
      </c>
      <c r="AF74" s="148">
        <f>sumifs(Boss!$D:$D,Boss!$B:$B,$D74,Boss!$A:$A,"&gt;="&amp;AF$60,Boss!$A:$A,"&lt;="&amp;AF$61,Boss!$D:$D,"&lt;"&amp;0)+sumifs(VPA.Director!$D:$D,VPA.Director!$B:$B,$D74,VPA.Director!$A:$A,"&gt;="&amp;AF$60,VPA.Director!$A:$A,"&lt;="&amp;AF$61,VPA.Director!$D:$D,"&lt;"&amp;0)+sumifs(ADC.Director!$D:$D,ADC.Director!$B:$B,$D74,ADC.Director!$A:$A,"&gt;="&amp;AF$60,ADC.Director!$A:$A,"&lt;="&amp;AF$61,ADC.Director!$D:$D,"&lt;"&amp;0)+sumifs('000'!$D:$D,'000'!$B:$B,$D74,'000'!$A:$A,"&gt;="&amp;AF$60,'000'!$A:$A,"&lt;="&amp;AF$61,'000'!$D:$D,"&lt;"&amp;0)+sumifs('500'!$D:$D,'500'!$B:$B,$D74,'500'!$A:$A,"&gt;="&amp;AF$60,'500'!$A:$A,"&lt;="&amp;AF$61,'500'!$D:$D,"&lt;"&amp;0)+sumifs('300'!$D:$D,'300'!$B:$B,$D74,'300'!$A:$A,"&gt;="&amp;AF$60,'300'!$A:$A,"&lt;="&amp;AF$61,'300'!$D:$D,"&lt;"&amp;0)+sumifs('600.VPA'!$D:$D,'600.VPA'!$B:$B,$D74,'600.VPA'!$A:$A,"&gt;="&amp;AF$60,'600.VPA'!$A:$A,"&lt;="&amp;AF$61,'600.VPA'!$D:$D,"&lt;"&amp;0)</f>
        <v>0</v>
      </c>
      <c r="AG74" s="149">
        <f>sumifs(Boss!$D:$D,Boss!$B:$B,$D74,Boss!$A:$A,"&gt;="&amp;AG$60,Boss!$A:$A,"&lt;="&amp;AG$61,Boss!$D:$D,"&gt;"&amp;0)+sumifs(VPA.Director!$D:$D,VPA.Director!$B:$B,$D74,VPA.Director!$A:$A,"&gt;="&amp;AG$60,VPA.Director!$A:$A,"&lt;="&amp;AG$61,VPA.Director!$D:$D,"&gt;"&amp;0)+sumifs(ADC.Director!$D:$D,ADC.Director!$B:$B,$D74,ADC.Director!$A:$A,"&gt;="&amp;AG$60,ADC.Director!$A:$A,"&lt;="&amp;AG$61,ADC.Director!$D:$D,"&gt;"&amp;0)+sumifs('000'!$D:$D,'000'!$B:$B,$D74,'000'!$A:$A,"&gt;="&amp;AG$60,'000'!$A:$A,"&lt;="&amp;AG$61,'000'!$D:$D,"&gt;"&amp;0)+sumifs('500'!$D:$D,'500'!$B:$B,$D74,'500'!$A:$A,"&gt;="&amp;AG$60,'500'!$A:$A,"&lt;="&amp;AG$60,'500'!$D:$D,"&gt;"&amp;0)+sumifs('300'!$D:$D,'300'!$B:$B,$D74,'300'!$A:$A,"&gt;="&amp;AG$60,'300'!$A:$A,"&lt;="&amp;AG$61,'300'!$D:$D,"&gt;"&amp;0)+sumifs('600.VPA'!$D:$D,'600.VPA'!$B:$B,$D74,'600.VPA'!$A:$A,"&gt;="&amp;AG$60,'600.VPA'!$A:$A,"&lt;="&amp;AG$61,'600.VPA'!$D:$D,"&gt;"&amp;0)</f>
        <v>0</v>
      </c>
      <c r="AH74" s="150">
        <f t="shared" ref="AH74:AI74" si="13">sum(I74,K74,M74,O74,Q74,S74,V74,X74,Z74,AB74,AD74,AF74)</f>
        <v>0</v>
      </c>
      <c r="AI74" s="151">
        <f t="shared" si="13"/>
        <v>0</v>
      </c>
      <c r="AJ74" s="150">
        <f t="shared" si="4"/>
        <v>0</v>
      </c>
      <c r="AK74" s="89"/>
      <c r="AL74" s="89"/>
      <c r="AM74" s="89"/>
      <c r="AN74" s="89"/>
      <c r="AO74" s="89"/>
      <c r="AP74" s="89"/>
      <c r="AQ74" s="89"/>
      <c r="AR74" s="89"/>
      <c r="AS74" s="89"/>
      <c r="AT74" s="89"/>
      <c r="AU74" s="89"/>
    </row>
    <row r="75">
      <c r="A75" s="86"/>
      <c r="B75" s="144"/>
      <c r="C75" s="145" t="s">
        <v>147</v>
      </c>
      <c r="D75" s="146" t="s">
        <v>73</v>
      </c>
      <c r="E75" s="147" t="s">
        <v>14</v>
      </c>
      <c r="F75" s="146" t="s">
        <v>148</v>
      </c>
      <c r="G75" s="146" t="s">
        <v>75</v>
      </c>
      <c r="H75" s="146" t="s">
        <v>149</v>
      </c>
      <c r="I75" s="148">
        <f>sumifs(Boss!$D:$D,Boss!$B:$B,$D75,Boss!$A:$A,"&gt;="&amp;I$60,Boss!$A:$A,"&lt;="&amp;I$61,Boss!$D:$D,"&lt;"&amp;0)+sumifs(VPA.Director!$D:$D,VPA.Director!$B:$B,$D75,VPA.Director!$A:$A,"&gt;="&amp;I$60,VPA.Director!$A:$A,"&lt;="&amp;I$61,VPA.Director!$D:$D,"&lt;"&amp;0)+sumifs(ADC.Director!$D:$D,ADC.Director!$B:$B,$D75,ADC.Director!$A:$A,"&gt;="&amp;I$60,ADC.Director!$A:$A,"&lt;="&amp;I$61,ADC.Director!$D:$D,"&lt;"&amp;0)+sumifs('000'!$D:$D,'000'!$B:$B,$D75,'000'!$A:$A,"&gt;="&amp;I$60,'000'!$A:$A,"&lt;="&amp;I$61,'000'!$D:$D,"&lt;"&amp;0)+sumifs('500'!$D:$D,'500'!$B:$B,$D75,'500'!$A:$A,"&gt;="&amp;I$60,'500'!$A:$A,"&lt;="&amp;I$61,'500'!$D:$D,"&lt;"&amp;0)+sumifs('300'!$D:$D,'300'!$B:$B,$D75,'300'!$A:$A,"&gt;="&amp;I$60,'300'!$A:$A,"&lt;="&amp;I$61,'300'!$D:$D,"&lt;"&amp;0)+sumifs('600.VPA'!$D:$D,'600.VPA'!$B:$B,$D75,'600.VPA'!$A:$A,"&gt;="&amp;I$60,'600.VPA'!$A:$A,"&lt;="&amp;I$61,'600.VPA'!$D:$D,"&lt;"&amp;0)</f>
        <v>0</v>
      </c>
      <c r="J75" s="149">
        <f>sumifs(Boss!$D:$D,Boss!$B:$B,$D75,Boss!$A:$A,"&gt;="&amp;J$60,Boss!$A:$A,"&lt;="&amp;J$61,Boss!$D:$D,"&gt;"&amp;0)+sumifs(VPA.Director!$D:$D,VPA.Director!$B:$B,$D75,VPA.Director!$A:$A,"&gt;="&amp;J$60,VPA.Director!$A:$A,"&lt;="&amp;J$61,VPA.Director!$D:$D,"&gt;"&amp;0)+sumifs(ADC.Director!$D:$D,ADC.Director!$B:$B,$D75,ADC.Director!$A:$A,"&gt;="&amp;J$60,ADC.Director!$A:$A,"&lt;="&amp;J$61,ADC.Director!$D:$D,"&gt;"&amp;0)+sumifs('000'!$D:$D,'000'!$B:$B,$D75,'000'!$A:$A,"&gt;="&amp;J$60,'000'!$A:$A,"&lt;="&amp;J$61,'000'!$D:$D,"&gt;"&amp;0)+sumifs('500'!$D:$D,'500'!$B:$B,$D75,'500'!$A:$A,"&gt;="&amp;J$60,'500'!$A:$A,"&lt;="&amp;J$60,'500'!$D:$D,"&gt;"&amp;0)+sumifs('300'!$D:$D,'300'!$B:$B,$D75,'300'!$A:$A,"&gt;="&amp;J$60,'300'!$A:$A,"&lt;="&amp;J$61,'300'!$D:$D,"&gt;"&amp;0)+sumifs('600.VPA'!$D:$D,'600.VPA'!$B:$B,$D75,'600.VPA'!$A:$A,"&gt;="&amp;J$60,'600.VPA'!$A:$A,"&lt;="&amp;J$61,'600.VPA'!$D:$D,"&gt;"&amp;0)</f>
        <v>0</v>
      </c>
      <c r="K75" s="148">
        <f>sumifs(Boss!$D:$D,Boss!$B:$B,$D75,Boss!$A:$A,"&gt;="&amp;K$60,Boss!$A:$A,"&lt;="&amp;K$61,Boss!$D:$D,"&lt;"&amp;0)+sumifs(VPA.Director!$D:$D,VPA.Director!$B:$B,$D75,VPA.Director!$A:$A,"&gt;="&amp;K$60,VPA.Director!$A:$A,"&lt;="&amp;K$61,VPA.Director!$D:$D,"&lt;"&amp;0)+sumifs(ADC.Director!$D:$D,ADC.Director!$B:$B,$D75,ADC.Director!$A:$A,"&gt;="&amp;K$60,ADC.Director!$A:$A,"&lt;="&amp;K$61,ADC.Director!$D:$D,"&lt;"&amp;0)+sumifs('000'!$D:$D,'000'!$B:$B,$D75,'000'!$A:$A,"&gt;="&amp;K$60,'000'!$A:$A,"&lt;="&amp;K$61,'000'!$D:$D,"&lt;"&amp;0)+sumifs('500'!$D:$D,'500'!$B:$B,$D75,'500'!$A:$A,"&gt;="&amp;K$60,'500'!$A:$A,"&lt;="&amp;K$61,'500'!$D:$D,"&lt;"&amp;0)+sumifs('300'!$D:$D,'300'!$B:$B,$D75,'300'!$A:$A,"&gt;="&amp;K$60,'300'!$A:$A,"&lt;="&amp;K$61,'300'!$D:$D,"&lt;"&amp;0)+sumifs('600.VPA'!$D:$D,'600.VPA'!$B:$B,$D75,'600.VPA'!$A:$A,"&gt;="&amp;K$60,'600.VPA'!$A:$A,"&lt;="&amp;K$61,'600.VPA'!$D:$D,"&lt;"&amp;0)</f>
        <v>0</v>
      </c>
      <c r="L75" s="149">
        <f>sumifs(Boss!$D:$D,Boss!$B:$B,$D75,Boss!$A:$A,"&gt;="&amp;L$60,Boss!$A:$A,"&lt;="&amp;L$61,Boss!$D:$D,"&gt;"&amp;0)+sumifs(VPA.Director!$D:$D,VPA.Director!$B:$B,$D75,VPA.Director!$A:$A,"&gt;="&amp;L$60,VPA.Director!$A:$A,"&lt;="&amp;L$61,VPA.Director!$D:$D,"&gt;"&amp;0)+sumifs(ADC.Director!$D:$D,ADC.Director!$B:$B,$D75,ADC.Director!$A:$A,"&gt;="&amp;L$60,ADC.Director!$A:$A,"&lt;="&amp;L$61,ADC.Director!$D:$D,"&gt;"&amp;0)+sumifs('000'!$D:$D,'000'!$B:$B,$D75,'000'!$A:$A,"&gt;="&amp;L$60,'000'!$A:$A,"&lt;="&amp;L$61,'000'!$D:$D,"&gt;"&amp;0)+sumifs('500'!$D:$D,'500'!$B:$B,$D75,'500'!$A:$A,"&gt;="&amp;L$60,'500'!$A:$A,"&lt;="&amp;L$60,'500'!$D:$D,"&gt;"&amp;0)+sumifs('300'!$D:$D,'300'!$B:$B,$D75,'300'!$A:$A,"&gt;="&amp;L$60,'300'!$A:$A,"&lt;="&amp;L$61,'300'!$D:$D,"&gt;"&amp;0)+sumifs('600.VPA'!$D:$D,'600.VPA'!$B:$B,$D75,'600.VPA'!$A:$A,"&gt;="&amp;L$60,'600.VPA'!$A:$A,"&lt;="&amp;L$61,'600.VPA'!$D:$D,"&gt;"&amp;0)</f>
        <v>0</v>
      </c>
      <c r="M75" s="148">
        <f>sumifs(Boss!$D:$D,Boss!$B:$B,$D75,Boss!$A:$A,"&gt;="&amp;M$60,Boss!$A:$A,"&lt;="&amp;M$61,Boss!$D:$D,"&lt;"&amp;0)+sumifs(VPA.Director!$D:$D,VPA.Director!$B:$B,$D75,VPA.Director!$A:$A,"&gt;="&amp;M$60,VPA.Director!$A:$A,"&lt;="&amp;M$61,VPA.Director!$D:$D,"&lt;"&amp;0)+sumifs(ADC.Director!$D:$D,ADC.Director!$B:$B,$D75,ADC.Director!$A:$A,"&gt;="&amp;M$60,ADC.Director!$A:$A,"&lt;="&amp;M$61,ADC.Director!$D:$D,"&lt;"&amp;0)+sumifs('000'!$D:$D,'000'!$B:$B,$D75,'000'!$A:$A,"&gt;="&amp;M$60,'000'!$A:$A,"&lt;="&amp;M$61,'000'!$D:$D,"&lt;"&amp;0)+sumifs('500'!$D:$D,'500'!$B:$B,$D75,'500'!$A:$A,"&gt;="&amp;M$60,'500'!$A:$A,"&lt;="&amp;M$61,'500'!$D:$D,"&lt;"&amp;0)+sumifs('300'!$D:$D,'300'!$B:$B,$D75,'300'!$A:$A,"&gt;="&amp;M$60,'300'!$A:$A,"&lt;="&amp;M$61,'300'!$D:$D,"&lt;"&amp;0)+sumifs('600.VPA'!$D:$D,'600.VPA'!$B:$B,$D75,'600.VPA'!$A:$A,"&gt;="&amp;M$60,'600.VPA'!$A:$A,"&lt;="&amp;M$61,'600.VPA'!$D:$D,"&lt;"&amp;0)</f>
        <v>0</v>
      </c>
      <c r="N75" s="149">
        <f>sumifs(Boss!$D:$D,Boss!$B:$B,$D75,Boss!$A:$A,"&gt;="&amp;N$60,Boss!$A:$A,"&lt;="&amp;N$61,Boss!$D:$D,"&gt;"&amp;0)+sumifs(VPA.Director!$D:$D,VPA.Director!$B:$B,$D75,VPA.Director!$A:$A,"&gt;="&amp;N$60,VPA.Director!$A:$A,"&lt;="&amp;N$61,VPA.Director!$D:$D,"&gt;"&amp;0)+sumifs(ADC.Director!$D:$D,ADC.Director!$B:$B,$D75,ADC.Director!$A:$A,"&gt;="&amp;N$60,ADC.Director!$A:$A,"&lt;="&amp;N$61,ADC.Director!$D:$D,"&gt;"&amp;0)+sumifs('000'!$D:$D,'000'!$B:$B,$D75,'000'!$A:$A,"&gt;="&amp;N$60,'000'!$A:$A,"&lt;="&amp;N$61,'000'!$D:$D,"&gt;"&amp;0)+sumifs('500'!$D:$D,'500'!$B:$B,$D75,'500'!$A:$A,"&gt;="&amp;N$60,'500'!$A:$A,"&lt;="&amp;N$60,'500'!$D:$D,"&gt;"&amp;0)+sumifs('300'!$D:$D,'300'!$B:$B,$D75,'300'!$A:$A,"&gt;="&amp;N$60,'300'!$A:$A,"&lt;="&amp;N$61,'300'!$D:$D,"&gt;"&amp;0)+sumifs('600.VPA'!$D:$D,'600.VPA'!$B:$B,$D75,'600.VPA'!$A:$A,"&gt;="&amp;N$60,'600.VPA'!$A:$A,"&lt;="&amp;N$61,'600.VPA'!$D:$D,"&gt;"&amp;0)</f>
        <v>0</v>
      </c>
      <c r="O75" s="148">
        <f>sumifs(Boss!$D:$D,Boss!$B:$B,$D75,Boss!$A:$A,"&gt;="&amp;O$60,Boss!$A:$A,"&lt;="&amp;O$61,Boss!$D:$D,"&lt;"&amp;0)+sumifs(VPA.Director!$D:$D,VPA.Director!$B:$B,$D75,VPA.Director!$A:$A,"&gt;="&amp;O$60,VPA.Director!$A:$A,"&lt;="&amp;O$61,VPA.Director!$D:$D,"&lt;"&amp;0)+sumifs(ADC.Director!$D:$D,ADC.Director!$B:$B,$D75,ADC.Director!$A:$A,"&gt;="&amp;O$60,ADC.Director!$A:$A,"&lt;="&amp;O$61,ADC.Director!$D:$D,"&lt;"&amp;0)+sumifs('000'!$D:$D,'000'!$B:$B,$D75,'000'!$A:$A,"&gt;="&amp;O$60,'000'!$A:$A,"&lt;="&amp;O$61,'000'!$D:$D,"&lt;"&amp;0)+sumifs('500'!$D:$D,'500'!$B:$B,$D75,'500'!$A:$A,"&gt;="&amp;O$60,'500'!$A:$A,"&lt;="&amp;O$61,'500'!$D:$D,"&lt;"&amp;0)+sumifs('300'!$D:$D,'300'!$B:$B,$D75,'300'!$A:$A,"&gt;="&amp;O$60,'300'!$A:$A,"&lt;="&amp;O$61,'300'!$D:$D,"&lt;"&amp;0)+sumifs('600.VPA'!$D:$D,'600.VPA'!$B:$B,$D75,'600.VPA'!$A:$A,"&gt;="&amp;O$60,'600.VPA'!$A:$A,"&lt;="&amp;O$61,'600.VPA'!$D:$D,"&lt;"&amp;0)</f>
        <v>0</v>
      </c>
      <c r="P75" s="149">
        <f>sumifs(Boss!$D:$D,Boss!$B:$B,$D75,Boss!$A:$A,"&gt;="&amp;P$60,Boss!$A:$A,"&lt;="&amp;P$61,Boss!$D:$D,"&gt;"&amp;0)+sumifs(VPA.Director!$D:$D,VPA.Director!$B:$B,$D75,VPA.Director!$A:$A,"&gt;="&amp;P$60,VPA.Director!$A:$A,"&lt;="&amp;P$61,VPA.Director!$D:$D,"&gt;"&amp;0)+sumifs(ADC.Director!$D:$D,ADC.Director!$B:$B,$D75,ADC.Director!$A:$A,"&gt;="&amp;P$60,ADC.Director!$A:$A,"&lt;="&amp;P$61,ADC.Director!$D:$D,"&gt;"&amp;0)+sumifs('000'!$D:$D,'000'!$B:$B,$D75,'000'!$A:$A,"&gt;="&amp;P$60,'000'!$A:$A,"&lt;="&amp;P$61,'000'!$D:$D,"&gt;"&amp;0)+sumifs('500'!$D:$D,'500'!$B:$B,$D75,'500'!$A:$A,"&gt;="&amp;P$60,'500'!$A:$A,"&lt;="&amp;P$60,'500'!$D:$D,"&gt;"&amp;0)+sumifs('300'!$D:$D,'300'!$B:$B,$D75,'300'!$A:$A,"&gt;="&amp;P$60,'300'!$A:$A,"&lt;="&amp;P$61,'300'!$D:$D,"&gt;"&amp;0)+sumifs('600.VPA'!$D:$D,'600.VPA'!$B:$B,$D75,'600.VPA'!$A:$A,"&gt;="&amp;P$60,'600.VPA'!$A:$A,"&lt;="&amp;P$61,'600.VPA'!$D:$D,"&gt;"&amp;0)</f>
        <v>0</v>
      </c>
      <c r="Q75" s="148">
        <f>sumifs(Boss!$D:$D,Boss!$B:$B,$D75,Boss!$A:$A,"&gt;="&amp;Q$60,Boss!$A:$A,"&lt;="&amp;Q$61,Boss!$D:$D,"&lt;"&amp;0)+sumifs(VPA.Director!$D:$D,VPA.Director!$B:$B,$D75,VPA.Director!$A:$A,"&gt;="&amp;Q$60,VPA.Director!$A:$A,"&lt;="&amp;Q$61,VPA.Director!$D:$D,"&lt;"&amp;0)+sumifs(ADC.Director!$D:$D,ADC.Director!$B:$B,$D75,ADC.Director!$A:$A,"&gt;="&amp;Q$60,ADC.Director!$A:$A,"&lt;="&amp;Q$61,ADC.Director!$D:$D,"&lt;"&amp;0)+sumifs('000'!$D:$D,'000'!$B:$B,$D75,'000'!$A:$A,"&gt;="&amp;Q$60,'000'!$A:$A,"&lt;="&amp;Q$61,'000'!$D:$D,"&lt;"&amp;0)+sumifs('500'!$D:$D,'500'!$B:$B,$D75,'500'!$A:$A,"&gt;="&amp;Q$60,'500'!$A:$A,"&lt;="&amp;Q$61,'500'!$D:$D,"&lt;"&amp;0)+sumifs('300'!$D:$D,'300'!$B:$B,$D75,'300'!$A:$A,"&gt;="&amp;Q$60,'300'!$A:$A,"&lt;="&amp;Q$61,'300'!$D:$D,"&lt;"&amp;0)+sumifs('600.VPA'!$D:$D,'600.VPA'!$B:$B,$D75,'600.VPA'!$A:$A,"&gt;="&amp;Q$60,'600.VPA'!$A:$A,"&lt;="&amp;Q$61,'600.VPA'!$D:$D,"&lt;"&amp;0)</f>
        <v>0</v>
      </c>
      <c r="R75" s="149">
        <f>sumifs(Boss!$D:$D,Boss!$B:$B,$D75,Boss!$A:$A,"&gt;="&amp;R$60,Boss!$A:$A,"&lt;="&amp;R$61,Boss!$D:$D,"&gt;"&amp;0)+sumifs(VPA.Director!$D:$D,VPA.Director!$B:$B,$D75,VPA.Director!$A:$A,"&gt;="&amp;R$60,VPA.Director!$A:$A,"&lt;="&amp;R$61,VPA.Director!$D:$D,"&gt;"&amp;0)+sumifs(ADC.Director!$D:$D,ADC.Director!$B:$B,$D75,ADC.Director!$A:$A,"&gt;="&amp;R$60,ADC.Director!$A:$A,"&lt;="&amp;R$61,ADC.Director!$D:$D,"&gt;"&amp;0)+sumifs('000'!$D:$D,'000'!$B:$B,$D75,'000'!$A:$A,"&gt;="&amp;R$60,'000'!$A:$A,"&lt;="&amp;R$61,'000'!$D:$D,"&gt;"&amp;0)+sumifs('500'!$D:$D,'500'!$B:$B,$D75,'500'!$A:$A,"&gt;="&amp;R$60,'500'!$A:$A,"&lt;="&amp;R$60,'500'!$D:$D,"&gt;"&amp;0)+sumifs('300'!$D:$D,'300'!$B:$B,$D75,'300'!$A:$A,"&gt;="&amp;R$60,'300'!$A:$A,"&lt;="&amp;R$61,'300'!$D:$D,"&gt;"&amp;0)+sumifs('600.VPA'!$D:$D,'600.VPA'!$B:$B,$D75,'600.VPA'!$A:$A,"&gt;="&amp;R$60,'600.VPA'!$A:$A,"&lt;="&amp;R$61,'600.VPA'!$D:$D,"&gt;"&amp;0)</f>
        <v>0</v>
      </c>
      <c r="S75" s="148">
        <f>sumifs(Boss!$D:$D,Boss!$B:$B,$D75,Boss!$A:$A,"&gt;="&amp;S$60,Boss!$A:$A,"&lt;="&amp;S$61,Boss!$D:$D,"&lt;"&amp;0)+sumifs(VPA.Director!$D:$D,VPA.Director!$B:$B,$D75,VPA.Director!$A:$A,"&gt;="&amp;S$60,VPA.Director!$A:$A,"&lt;="&amp;S$61,VPA.Director!$D:$D,"&lt;"&amp;0)+sumifs(ADC.Director!$D:$D,ADC.Director!$B:$B,$D75,ADC.Director!$A:$A,"&gt;="&amp;S$60,ADC.Director!$A:$A,"&lt;="&amp;S$61,ADC.Director!$D:$D,"&lt;"&amp;0)+sumifs('000'!$D:$D,'000'!$B:$B,$D75,'000'!$A:$A,"&gt;="&amp;S$60,'000'!$A:$A,"&lt;="&amp;S$61,'000'!$D:$D,"&lt;"&amp;0)+sumifs('500'!$D:$D,'500'!$B:$B,$D75,'500'!$A:$A,"&gt;="&amp;S$60,'500'!$A:$A,"&lt;="&amp;S$61,'500'!$D:$D,"&lt;"&amp;0)+sumifs('300'!$D:$D,'300'!$B:$B,$D75,'300'!$A:$A,"&gt;="&amp;S$60,'300'!$A:$A,"&lt;="&amp;S$61,'300'!$D:$D,"&lt;"&amp;0)+sumifs('600.VPA'!$D:$D,'600.VPA'!$B:$B,$D75,'600.VPA'!$A:$A,"&gt;="&amp;S$60,'600.VPA'!$A:$A,"&lt;="&amp;S$61,'600.VPA'!$D:$D,"&lt;"&amp;0)</f>
        <v>0</v>
      </c>
      <c r="T75" s="149">
        <f>sumifs(Boss!$D:$D,Boss!$B:$B,$D75,Boss!$A:$A,"&gt;="&amp;T$60,Boss!$A:$A,"&lt;="&amp;T$61,Boss!$D:$D,"&gt;"&amp;0)+sumifs(VPA.Director!$D:$D,VPA.Director!$B:$B,$D75,VPA.Director!$A:$A,"&gt;="&amp;T$60,VPA.Director!$A:$A,"&lt;="&amp;T$61,VPA.Director!$D:$D,"&gt;"&amp;0)+sumifs(ADC.Director!$D:$D,ADC.Director!$B:$B,$D75,ADC.Director!$A:$A,"&gt;="&amp;T$60,ADC.Director!$A:$A,"&lt;="&amp;T$61,ADC.Director!$D:$D,"&gt;"&amp;0)+sumifs('000'!$D:$D,'000'!$B:$B,$D75,'000'!$A:$A,"&gt;="&amp;T$60,'000'!$A:$A,"&lt;="&amp;T$61,'000'!$D:$D,"&gt;"&amp;0)+sumifs('500'!$D:$D,'500'!$B:$B,$D75,'500'!$A:$A,"&gt;="&amp;T$60,'500'!$A:$A,"&lt;="&amp;T$60,'500'!$D:$D,"&gt;"&amp;0)+sumifs('300'!$D:$D,'300'!$B:$B,$D75,'300'!$A:$A,"&gt;="&amp;T$60,'300'!$A:$A,"&lt;="&amp;T$61,'300'!$D:$D,"&gt;"&amp;0)+sumifs('600.VPA'!$D:$D,'600.VPA'!$B:$B,$D75,'600.VPA'!$A:$A,"&gt;="&amp;T$60,'600.VPA'!$A:$A,"&lt;="&amp;T$61,'600.VPA'!$D:$D,"&gt;"&amp;0)</f>
        <v>0</v>
      </c>
      <c r="U75" s="144"/>
      <c r="V75" s="148">
        <f>sumifs(Boss!$D:$D,Boss!$B:$B,$D75,Boss!$A:$A,"&gt;="&amp;V$60,Boss!$A:$A,"&lt;="&amp;V$61,Boss!$D:$D,"&lt;"&amp;0)+sumifs(VPA.Director!$D:$D,VPA.Director!$B:$B,$D75,VPA.Director!$A:$A,"&gt;="&amp;V$60,VPA.Director!$A:$A,"&lt;="&amp;V$61,VPA.Director!$D:$D,"&lt;"&amp;0)+sumifs(ADC.Director!$D:$D,ADC.Director!$B:$B,$D75,ADC.Director!$A:$A,"&gt;="&amp;V$60,ADC.Director!$A:$A,"&lt;="&amp;V$61,ADC.Director!$D:$D,"&lt;"&amp;0)+sumifs('000'!$D:$D,'000'!$B:$B,$D75,'000'!$A:$A,"&gt;="&amp;V$60,'000'!$A:$A,"&lt;="&amp;V$61,'000'!$D:$D,"&lt;"&amp;0)+sumifs('500'!$D:$D,'500'!$B:$B,$D75,'500'!$A:$A,"&gt;="&amp;V$60,'500'!$A:$A,"&lt;="&amp;V$61,'500'!$D:$D,"&lt;"&amp;0)+sumifs('300'!$D:$D,'300'!$B:$B,$D75,'300'!$A:$A,"&gt;="&amp;V$60,'300'!$A:$A,"&lt;="&amp;V$61,'300'!$D:$D,"&lt;"&amp;0)+sumifs('600.VPA'!$D:$D,'600.VPA'!$B:$B,$D75,'600.VPA'!$A:$A,"&gt;="&amp;V$60,'600.VPA'!$A:$A,"&lt;="&amp;V$61,'600.VPA'!$D:$D,"&lt;"&amp;0)</f>
        <v>0</v>
      </c>
      <c r="W75" s="149">
        <f>sumifs(Boss!$D:$D,Boss!$B:$B,$D75,Boss!$A:$A,"&gt;="&amp;W$60,Boss!$A:$A,"&lt;="&amp;W$61,Boss!$D:$D,"&gt;"&amp;0)+sumifs(VPA.Director!$D:$D,VPA.Director!$B:$B,$D75,VPA.Director!$A:$A,"&gt;="&amp;W$60,VPA.Director!$A:$A,"&lt;="&amp;W$61,VPA.Director!$D:$D,"&gt;"&amp;0)+sumifs(ADC.Director!$D:$D,ADC.Director!$B:$B,$D75,ADC.Director!$A:$A,"&gt;="&amp;W$60,ADC.Director!$A:$A,"&lt;="&amp;W$61,ADC.Director!$D:$D,"&gt;"&amp;0)+sumifs('000'!$D:$D,'000'!$B:$B,$D75,'000'!$A:$A,"&gt;="&amp;W$60,'000'!$A:$A,"&lt;="&amp;W$61,'000'!$D:$D,"&gt;"&amp;0)+sumifs('500'!$D:$D,'500'!$B:$B,$D75,'500'!$A:$A,"&gt;="&amp;W$60,'500'!$A:$A,"&lt;="&amp;W$60,'500'!$D:$D,"&gt;"&amp;0)+sumifs('300'!$D:$D,'300'!$B:$B,$D75,'300'!$A:$A,"&gt;="&amp;W$60,'300'!$A:$A,"&lt;="&amp;W$61,'300'!$D:$D,"&gt;"&amp;0)+sumifs('600.VPA'!$D:$D,'600.VPA'!$B:$B,$D75,'600.VPA'!$A:$A,"&gt;="&amp;W$60,'600.VPA'!$A:$A,"&lt;="&amp;W$61,'600.VPA'!$D:$D,"&gt;"&amp;0)</f>
        <v>0</v>
      </c>
      <c r="X75" s="148">
        <f>sumifs(Boss!$D:$D,Boss!$B:$B,$D75,Boss!$A:$A,"&gt;="&amp;X$60,Boss!$A:$A,"&lt;="&amp;X$61,Boss!$D:$D,"&lt;"&amp;0)+sumifs(VPA.Director!$D:$D,VPA.Director!$B:$B,$D75,VPA.Director!$A:$A,"&gt;="&amp;X$60,VPA.Director!$A:$A,"&lt;="&amp;X$61,VPA.Director!$D:$D,"&lt;"&amp;0)+sumifs(ADC.Director!$D:$D,ADC.Director!$B:$B,$D75,ADC.Director!$A:$A,"&gt;="&amp;X$60,ADC.Director!$A:$A,"&lt;="&amp;X$61,ADC.Director!$D:$D,"&lt;"&amp;0)+sumifs('000'!$D:$D,'000'!$B:$B,$D75,'000'!$A:$A,"&gt;="&amp;X$60,'000'!$A:$A,"&lt;="&amp;X$61,'000'!$D:$D,"&lt;"&amp;0)+sumifs('500'!$D:$D,'500'!$B:$B,$D75,'500'!$A:$A,"&gt;="&amp;X$60,'500'!$A:$A,"&lt;="&amp;X$61,'500'!$D:$D,"&lt;"&amp;0)+sumifs('300'!$D:$D,'300'!$B:$B,$D75,'300'!$A:$A,"&gt;="&amp;X$60,'300'!$A:$A,"&lt;="&amp;X$61,'300'!$D:$D,"&lt;"&amp;0)+sumifs('600.VPA'!$D:$D,'600.VPA'!$B:$B,$D75,'600.VPA'!$A:$A,"&gt;="&amp;X$60,'600.VPA'!$A:$A,"&lt;="&amp;X$61,'600.VPA'!$D:$D,"&lt;"&amp;0)</f>
        <v>0</v>
      </c>
      <c r="Y75" s="149">
        <f>sumifs(Boss!$D:$D,Boss!$B:$B,$D75,Boss!$A:$A,"&gt;="&amp;Y$60,Boss!$A:$A,"&lt;="&amp;Y$61,Boss!$D:$D,"&gt;"&amp;0)+sumifs(VPA.Director!$D:$D,VPA.Director!$B:$B,$D75,VPA.Director!$A:$A,"&gt;="&amp;Y$60,VPA.Director!$A:$A,"&lt;="&amp;Y$61,VPA.Director!$D:$D,"&gt;"&amp;0)+sumifs(ADC.Director!$D:$D,ADC.Director!$B:$B,$D75,ADC.Director!$A:$A,"&gt;="&amp;Y$60,ADC.Director!$A:$A,"&lt;="&amp;Y$61,ADC.Director!$D:$D,"&gt;"&amp;0)+sumifs('000'!$D:$D,'000'!$B:$B,$D75,'000'!$A:$A,"&gt;="&amp;Y$60,'000'!$A:$A,"&lt;="&amp;Y$61,'000'!$D:$D,"&gt;"&amp;0)+sumifs('500'!$D:$D,'500'!$B:$B,$D75,'500'!$A:$A,"&gt;="&amp;Y$60,'500'!$A:$A,"&lt;="&amp;Y$60,'500'!$D:$D,"&gt;"&amp;0)+sumifs('300'!$D:$D,'300'!$B:$B,$D75,'300'!$A:$A,"&gt;="&amp;Y$60,'300'!$A:$A,"&lt;="&amp;Y$61,'300'!$D:$D,"&gt;"&amp;0)+sumifs('600.VPA'!$D:$D,'600.VPA'!$B:$B,$D75,'600.VPA'!$A:$A,"&gt;="&amp;Y$60,'600.VPA'!$A:$A,"&lt;="&amp;Y$61,'600.VPA'!$D:$D,"&gt;"&amp;0)</f>
        <v>0</v>
      </c>
      <c r="Z75" s="148">
        <f>sumifs(Boss!$D:$D,Boss!$B:$B,$D75,Boss!$A:$A,"&gt;="&amp;Z$60,Boss!$A:$A,"&lt;="&amp;Z$61,Boss!$D:$D,"&lt;"&amp;0)+sumifs(VPA.Director!$D:$D,VPA.Director!$B:$B,$D75,VPA.Director!$A:$A,"&gt;="&amp;Z$60,VPA.Director!$A:$A,"&lt;="&amp;Z$61,VPA.Director!$D:$D,"&lt;"&amp;0)+sumifs(ADC.Director!$D:$D,ADC.Director!$B:$B,$D75,ADC.Director!$A:$A,"&gt;="&amp;Z$60,ADC.Director!$A:$A,"&lt;="&amp;Z$61,ADC.Director!$D:$D,"&lt;"&amp;0)+sumifs('000'!$D:$D,'000'!$B:$B,$D75,'000'!$A:$A,"&gt;="&amp;Z$60,'000'!$A:$A,"&lt;="&amp;Z$61,'000'!$D:$D,"&lt;"&amp;0)+sumifs('500'!$D:$D,'500'!$B:$B,$D75,'500'!$A:$A,"&gt;="&amp;Z$60,'500'!$A:$A,"&lt;="&amp;Z$61,'500'!$D:$D,"&lt;"&amp;0)+sumifs('300'!$D:$D,'300'!$B:$B,$D75,'300'!$A:$A,"&gt;="&amp;Z$60,'300'!$A:$A,"&lt;="&amp;Z$61,'300'!$D:$D,"&lt;"&amp;0)+sumifs('600.VPA'!$D:$D,'600.VPA'!$B:$B,$D75,'600.VPA'!$A:$A,"&gt;="&amp;Z$60,'600.VPA'!$A:$A,"&lt;="&amp;Z$61,'600.VPA'!$D:$D,"&lt;"&amp;0)</f>
        <v>0</v>
      </c>
      <c r="AA75" s="149">
        <f>sumifs(Boss!$D:$D,Boss!$B:$B,$D75,Boss!$A:$A,"&gt;="&amp;AA$60,Boss!$A:$A,"&lt;="&amp;AA$61,Boss!$D:$D,"&gt;"&amp;0)+sumifs(VPA.Director!$D:$D,VPA.Director!$B:$B,$D75,VPA.Director!$A:$A,"&gt;="&amp;AA$60,VPA.Director!$A:$A,"&lt;="&amp;AA$61,VPA.Director!$D:$D,"&gt;"&amp;0)+sumifs(ADC.Director!$D:$D,ADC.Director!$B:$B,$D75,ADC.Director!$A:$A,"&gt;="&amp;AA$60,ADC.Director!$A:$A,"&lt;="&amp;AA$61,ADC.Director!$D:$D,"&gt;"&amp;0)+sumifs('000'!$D:$D,'000'!$B:$B,$D75,'000'!$A:$A,"&gt;="&amp;AA$60,'000'!$A:$A,"&lt;="&amp;AA$61,'000'!$D:$D,"&gt;"&amp;0)+sumifs('500'!$D:$D,'500'!$B:$B,$D75,'500'!$A:$A,"&gt;="&amp;AA$60,'500'!$A:$A,"&lt;="&amp;AA$60,'500'!$D:$D,"&gt;"&amp;0)+sumifs('300'!$D:$D,'300'!$B:$B,$D75,'300'!$A:$A,"&gt;="&amp;AA$60,'300'!$A:$A,"&lt;="&amp;AA$61,'300'!$D:$D,"&gt;"&amp;0)+sumifs('600.VPA'!$D:$D,'600.VPA'!$B:$B,$D75,'600.VPA'!$A:$A,"&gt;="&amp;AA$60,'600.VPA'!$A:$A,"&lt;="&amp;AA$61,'600.VPA'!$D:$D,"&gt;"&amp;0)</f>
        <v>0</v>
      </c>
      <c r="AB75" s="148">
        <f>sumifs(Boss!$D:$D,Boss!$B:$B,$D75,Boss!$A:$A,"&gt;="&amp;AB$60,Boss!$A:$A,"&lt;="&amp;AB$61,Boss!$D:$D,"&lt;"&amp;0)+sumifs(VPA.Director!$D:$D,VPA.Director!$B:$B,$D75,VPA.Director!$A:$A,"&gt;="&amp;AB$60,VPA.Director!$A:$A,"&lt;="&amp;AB$61,VPA.Director!$D:$D,"&lt;"&amp;0)+sumifs(ADC.Director!$D:$D,ADC.Director!$B:$B,$D75,ADC.Director!$A:$A,"&gt;="&amp;AB$60,ADC.Director!$A:$A,"&lt;="&amp;AB$61,ADC.Director!$D:$D,"&lt;"&amp;0)+sumifs('000'!$D:$D,'000'!$B:$B,$D75,'000'!$A:$A,"&gt;="&amp;AB$60,'000'!$A:$A,"&lt;="&amp;AB$61,'000'!$D:$D,"&lt;"&amp;0)+sumifs('500'!$D:$D,'500'!$B:$B,$D75,'500'!$A:$A,"&gt;="&amp;AB$60,'500'!$A:$A,"&lt;="&amp;AB$61,'500'!$D:$D,"&lt;"&amp;0)+sumifs('300'!$D:$D,'300'!$B:$B,$D75,'300'!$A:$A,"&gt;="&amp;AB$60,'300'!$A:$A,"&lt;="&amp;AB$61,'300'!$D:$D,"&lt;"&amp;0)+sumifs('600.VPA'!$D:$D,'600.VPA'!$B:$B,$D75,'600.VPA'!$A:$A,"&gt;="&amp;AB$60,'600.VPA'!$A:$A,"&lt;="&amp;AB$61,'600.VPA'!$D:$D,"&lt;"&amp;0)</f>
        <v>0</v>
      </c>
      <c r="AC75" s="149">
        <f>sumifs(Boss!$D:$D,Boss!$B:$B,$D75,Boss!$A:$A,"&gt;="&amp;AC$60,Boss!$A:$A,"&lt;="&amp;AC$61,Boss!$D:$D,"&gt;"&amp;0)+sumifs(VPA.Director!$D:$D,VPA.Director!$B:$B,$D75,VPA.Director!$A:$A,"&gt;="&amp;AC$60,VPA.Director!$A:$A,"&lt;="&amp;AC$61,VPA.Director!$D:$D,"&gt;"&amp;0)+sumifs(ADC.Director!$D:$D,ADC.Director!$B:$B,$D75,ADC.Director!$A:$A,"&gt;="&amp;AC$60,ADC.Director!$A:$A,"&lt;="&amp;AC$61,ADC.Director!$D:$D,"&gt;"&amp;0)+sumifs('000'!$D:$D,'000'!$B:$B,$D75,'000'!$A:$A,"&gt;="&amp;AC$60,'000'!$A:$A,"&lt;="&amp;AC$61,'000'!$D:$D,"&gt;"&amp;0)+sumifs('500'!$D:$D,'500'!$B:$B,$D75,'500'!$A:$A,"&gt;="&amp;AC$60,'500'!$A:$A,"&lt;="&amp;AC$60,'500'!$D:$D,"&gt;"&amp;0)+sumifs('300'!$D:$D,'300'!$B:$B,$D75,'300'!$A:$A,"&gt;="&amp;AC$60,'300'!$A:$A,"&lt;="&amp;AC$61,'300'!$D:$D,"&gt;"&amp;0)+sumifs('600.VPA'!$D:$D,'600.VPA'!$B:$B,$D75,'600.VPA'!$A:$A,"&gt;="&amp;AC$60,'600.VPA'!$A:$A,"&lt;="&amp;AC$61,'600.VPA'!$D:$D,"&gt;"&amp;0)</f>
        <v>0</v>
      </c>
      <c r="AD75" s="148">
        <f>sumifs(Boss!$D:$D,Boss!$B:$B,$D75,Boss!$A:$A,"&gt;="&amp;AD$60,Boss!$A:$A,"&lt;="&amp;AD$61,Boss!$D:$D,"&lt;"&amp;0)+sumifs(VPA.Director!$D:$D,VPA.Director!$B:$B,$D75,VPA.Director!$A:$A,"&gt;="&amp;AD$60,VPA.Director!$A:$A,"&lt;="&amp;AD$61,VPA.Director!$D:$D,"&lt;"&amp;0)+sumifs(ADC.Director!$D:$D,ADC.Director!$B:$B,$D75,ADC.Director!$A:$A,"&gt;="&amp;AD$60,ADC.Director!$A:$A,"&lt;="&amp;AD$61,ADC.Director!$D:$D,"&lt;"&amp;0)+sumifs('000'!$D:$D,'000'!$B:$B,$D75,'000'!$A:$A,"&gt;="&amp;AD$60,'000'!$A:$A,"&lt;="&amp;AD$61,'000'!$D:$D,"&lt;"&amp;0)+sumifs('500'!$D:$D,'500'!$B:$B,$D75,'500'!$A:$A,"&gt;="&amp;AD$60,'500'!$A:$A,"&lt;="&amp;AD$61,'500'!$D:$D,"&lt;"&amp;0)+sumifs('300'!$D:$D,'300'!$B:$B,$D75,'300'!$A:$A,"&gt;="&amp;AD$60,'300'!$A:$A,"&lt;="&amp;AD$61,'300'!$D:$D,"&lt;"&amp;0)+sumifs('600.VPA'!$D:$D,'600.VPA'!$B:$B,$D75,'600.VPA'!$A:$A,"&gt;="&amp;AD$60,'600.VPA'!$A:$A,"&lt;="&amp;AD$61,'600.VPA'!$D:$D,"&lt;"&amp;0)</f>
        <v>0</v>
      </c>
      <c r="AE75" s="149">
        <f>sumifs(Boss!$D:$D,Boss!$B:$B,$D75,Boss!$A:$A,"&gt;="&amp;AE$60,Boss!$A:$A,"&lt;="&amp;AE$61,Boss!$D:$D,"&gt;"&amp;0)+sumifs(VPA.Director!$D:$D,VPA.Director!$B:$B,$D75,VPA.Director!$A:$A,"&gt;="&amp;AE$60,VPA.Director!$A:$A,"&lt;="&amp;AE$61,VPA.Director!$D:$D,"&gt;"&amp;0)+sumifs(ADC.Director!$D:$D,ADC.Director!$B:$B,$D75,ADC.Director!$A:$A,"&gt;="&amp;AE$60,ADC.Director!$A:$A,"&lt;="&amp;AE$61,ADC.Director!$D:$D,"&gt;"&amp;0)+sumifs('000'!$D:$D,'000'!$B:$B,$D75,'000'!$A:$A,"&gt;="&amp;AE$60,'000'!$A:$A,"&lt;="&amp;AE$61,'000'!$D:$D,"&gt;"&amp;0)+sumifs('500'!$D:$D,'500'!$B:$B,$D75,'500'!$A:$A,"&gt;="&amp;AE$60,'500'!$A:$A,"&lt;="&amp;AE$60,'500'!$D:$D,"&gt;"&amp;0)+sumifs('300'!$D:$D,'300'!$B:$B,$D75,'300'!$A:$A,"&gt;="&amp;AE$60,'300'!$A:$A,"&lt;="&amp;AE$61,'300'!$D:$D,"&gt;"&amp;0)+sumifs('600.VPA'!$D:$D,'600.VPA'!$B:$B,$D75,'600.VPA'!$A:$A,"&gt;="&amp;AE$60,'600.VPA'!$A:$A,"&lt;="&amp;AE$61,'600.VPA'!$D:$D,"&gt;"&amp;0)</f>
        <v>0</v>
      </c>
      <c r="AF75" s="148">
        <f>sumifs(Boss!$D:$D,Boss!$B:$B,$D75,Boss!$A:$A,"&gt;="&amp;AF$60,Boss!$A:$A,"&lt;="&amp;AF$61,Boss!$D:$D,"&lt;"&amp;0)+sumifs(VPA.Director!$D:$D,VPA.Director!$B:$B,$D75,VPA.Director!$A:$A,"&gt;="&amp;AF$60,VPA.Director!$A:$A,"&lt;="&amp;AF$61,VPA.Director!$D:$D,"&lt;"&amp;0)+sumifs(ADC.Director!$D:$D,ADC.Director!$B:$B,$D75,ADC.Director!$A:$A,"&gt;="&amp;AF$60,ADC.Director!$A:$A,"&lt;="&amp;AF$61,ADC.Director!$D:$D,"&lt;"&amp;0)+sumifs('000'!$D:$D,'000'!$B:$B,$D75,'000'!$A:$A,"&gt;="&amp;AF$60,'000'!$A:$A,"&lt;="&amp;AF$61,'000'!$D:$D,"&lt;"&amp;0)+sumifs('500'!$D:$D,'500'!$B:$B,$D75,'500'!$A:$A,"&gt;="&amp;AF$60,'500'!$A:$A,"&lt;="&amp;AF$61,'500'!$D:$D,"&lt;"&amp;0)+sumifs('300'!$D:$D,'300'!$B:$B,$D75,'300'!$A:$A,"&gt;="&amp;AF$60,'300'!$A:$A,"&lt;="&amp;AF$61,'300'!$D:$D,"&lt;"&amp;0)+sumifs('600.VPA'!$D:$D,'600.VPA'!$B:$B,$D75,'600.VPA'!$A:$A,"&gt;="&amp;AF$60,'600.VPA'!$A:$A,"&lt;="&amp;AF$61,'600.VPA'!$D:$D,"&lt;"&amp;0)</f>
        <v>0</v>
      </c>
      <c r="AG75" s="149">
        <f>sumifs(Boss!$D:$D,Boss!$B:$B,$D75,Boss!$A:$A,"&gt;="&amp;AG$60,Boss!$A:$A,"&lt;="&amp;AG$61,Boss!$D:$D,"&gt;"&amp;0)+sumifs(VPA.Director!$D:$D,VPA.Director!$B:$B,$D75,VPA.Director!$A:$A,"&gt;="&amp;AG$60,VPA.Director!$A:$A,"&lt;="&amp;AG$61,VPA.Director!$D:$D,"&gt;"&amp;0)+sumifs(ADC.Director!$D:$D,ADC.Director!$B:$B,$D75,ADC.Director!$A:$A,"&gt;="&amp;AG$60,ADC.Director!$A:$A,"&lt;="&amp;AG$61,ADC.Director!$D:$D,"&gt;"&amp;0)+sumifs('000'!$D:$D,'000'!$B:$B,$D75,'000'!$A:$A,"&gt;="&amp;AG$60,'000'!$A:$A,"&lt;="&amp;AG$61,'000'!$D:$D,"&gt;"&amp;0)+sumifs('500'!$D:$D,'500'!$B:$B,$D75,'500'!$A:$A,"&gt;="&amp;AG$60,'500'!$A:$A,"&lt;="&amp;AG$60,'500'!$D:$D,"&gt;"&amp;0)+sumifs('300'!$D:$D,'300'!$B:$B,$D75,'300'!$A:$A,"&gt;="&amp;AG$60,'300'!$A:$A,"&lt;="&amp;AG$61,'300'!$D:$D,"&gt;"&amp;0)+sumifs('600.VPA'!$D:$D,'600.VPA'!$B:$B,$D75,'600.VPA'!$A:$A,"&gt;="&amp;AG$60,'600.VPA'!$A:$A,"&lt;="&amp;AG$61,'600.VPA'!$D:$D,"&gt;"&amp;0)</f>
        <v>0</v>
      </c>
      <c r="AH75" s="150">
        <f t="shared" ref="AH75:AI75" si="14">sum(I75,K75,M75,O75,Q75,S75,V75,X75,Z75,AB75,AD75,AF75)</f>
        <v>0</v>
      </c>
      <c r="AI75" s="151">
        <f t="shared" si="14"/>
        <v>0</v>
      </c>
      <c r="AJ75" s="150">
        <f t="shared" si="4"/>
        <v>0</v>
      </c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</row>
    <row r="76">
      <c r="A76" s="86"/>
      <c r="B76" s="153"/>
      <c r="C76" s="154" t="s">
        <v>77</v>
      </c>
      <c r="D76" s="155" t="s">
        <v>81</v>
      </c>
      <c r="E76" s="156" t="s">
        <v>16</v>
      </c>
      <c r="F76" s="155" t="s">
        <v>150</v>
      </c>
      <c r="G76" s="155" t="s">
        <v>83</v>
      </c>
      <c r="H76" s="155" t="s">
        <v>84</v>
      </c>
      <c r="I76" s="157">
        <f>sumifs(Boss!$D:$D,Boss!$B:$B,$D76,Boss!$A:$A,"&gt;="&amp;I$60,Boss!$A:$A,"&lt;="&amp;I$61,Boss!$D:$D,"&lt;"&amp;0)+sumifs(VPA.Director!$D:$D,VPA.Director!$B:$B,$D76,VPA.Director!$A:$A,"&gt;="&amp;I$60,VPA.Director!$A:$A,"&lt;="&amp;I$61,VPA.Director!$D:$D,"&lt;"&amp;0)+sumifs(ADC.Director!$D:$D,ADC.Director!$B:$B,$D76,ADC.Director!$A:$A,"&gt;="&amp;I$60,ADC.Director!$A:$A,"&lt;="&amp;I$61,ADC.Director!$D:$D,"&lt;"&amp;0)+sumifs('000'!$D:$D,'000'!$B:$B,$D76,'000'!$A:$A,"&gt;="&amp;I$60,'000'!$A:$A,"&lt;="&amp;I$61,'000'!$D:$D,"&lt;"&amp;0)+sumifs('500'!$D:$D,'500'!$B:$B,$D76,'500'!$A:$A,"&gt;="&amp;I$60,'500'!$A:$A,"&lt;="&amp;I$61,'500'!$D:$D,"&lt;"&amp;0)+sumifs('300'!$D:$D,'300'!$B:$B,$D76,'300'!$A:$A,"&gt;="&amp;I$60,'300'!$A:$A,"&lt;="&amp;I$61,'300'!$D:$D,"&lt;"&amp;0)+sumifs('600.VPA'!$D:$D,'600.VPA'!$B:$B,$D76,'600.VPA'!$A:$A,"&gt;="&amp;I$60,'600.VPA'!$A:$A,"&lt;="&amp;I$61,'600.VPA'!$D:$D,"&lt;"&amp;0)</f>
        <v>0</v>
      </c>
      <c r="J76" s="158">
        <f>sumifs(Boss!$D:$D,Boss!$B:$B,$D76,Boss!$A:$A,"&gt;="&amp;J$60,Boss!$A:$A,"&lt;="&amp;J$61,Boss!$D:$D,"&gt;"&amp;0)+sumifs(VPA.Director!$D:$D,VPA.Director!$B:$B,$D76,VPA.Director!$A:$A,"&gt;="&amp;J$60,VPA.Director!$A:$A,"&lt;="&amp;J$61,VPA.Director!$D:$D,"&gt;"&amp;0)+sumifs(ADC.Director!$D:$D,ADC.Director!$B:$B,$D76,ADC.Director!$A:$A,"&gt;="&amp;J$60,ADC.Director!$A:$A,"&lt;="&amp;J$61,ADC.Director!$D:$D,"&gt;"&amp;0)+sumifs('000'!$D:$D,'000'!$B:$B,$D76,'000'!$A:$A,"&gt;="&amp;J$60,'000'!$A:$A,"&lt;="&amp;J$61,'000'!$D:$D,"&gt;"&amp;0)+sumifs('500'!$D:$D,'500'!$B:$B,$D76,'500'!$A:$A,"&gt;="&amp;J$60,'500'!$A:$A,"&lt;="&amp;J$60,'500'!$D:$D,"&gt;"&amp;0)+sumifs('300'!$D:$D,'300'!$B:$B,$D76,'300'!$A:$A,"&gt;="&amp;J$60,'300'!$A:$A,"&lt;="&amp;J$61,'300'!$D:$D,"&gt;"&amp;0)+sumifs('600.VPA'!$D:$D,'600.VPA'!$B:$B,$D76,'600.VPA'!$A:$A,"&gt;="&amp;J$60,'600.VPA'!$A:$A,"&lt;="&amp;J$61,'600.VPA'!$D:$D,"&gt;"&amp;0)</f>
        <v>0</v>
      </c>
      <c r="K76" s="157">
        <f>sumifs(Boss!$D:$D,Boss!$B:$B,$D76,Boss!$A:$A,"&gt;="&amp;K$60,Boss!$A:$A,"&lt;="&amp;K$61,Boss!$D:$D,"&lt;"&amp;0)+sumifs(VPA.Director!$D:$D,VPA.Director!$B:$B,$D76,VPA.Director!$A:$A,"&gt;="&amp;K$60,VPA.Director!$A:$A,"&lt;="&amp;K$61,VPA.Director!$D:$D,"&lt;"&amp;0)+sumifs(ADC.Director!$D:$D,ADC.Director!$B:$B,$D76,ADC.Director!$A:$A,"&gt;="&amp;K$60,ADC.Director!$A:$A,"&lt;="&amp;K$61,ADC.Director!$D:$D,"&lt;"&amp;0)+sumifs('000'!$D:$D,'000'!$B:$B,$D76,'000'!$A:$A,"&gt;="&amp;K$60,'000'!$A:$A,"&lt;="&amp;K$61,'000'!$D:$D,"&lt;"&amp;0)+sumifs('500'!$D:$D,'500'!$B:$B,$D76,'500'!$A:$A,"&gt;="&amp;K$60,'500'!$A:$A,"&lt;="&amp;K$61,'500'!$D:$D,"&lt;"&amp;0)+sumifs('300'!$D:$D,'300'!$B:$B,$D76,'300'!$A:$A,"&gt;="&amp;K$60,'300'!$A:$A,"&lt;="&amp;K$61,'300'!$D:$D,"&lt;"&amp;0)+sumifs('600.VPA'!$D:$D,'600.VPA'!$B:$B,$D76,'600.VPA'!$A:$A,"&gt;="&amp;K$60,'600.VPA'!$A:$A,"&lt;="&amp;K$61,'600.VPA'!$D:$D,"&lt;"&amp;0)</f>
        <v>0</v>
      </c>
      <c r="L76" s="158">
        <f>sumifs(Boss!$D:$D,Boss!$B:$B,$D76,Boss!$A:$A,"&gt;="&amp;L$60,Boss!$A:$A,"&lt;="&amp;L$61,Boss!$D:$D,"&gt;"&amp;0)+sumifs(VPA.Director!$D:$D,VPA.Director!$B:$B,$D76,VPA.Director!$A:$A,"&gt;="&amp;L$60,VPA.Director!$A:$A,"&lt;="&amp;L$61,VPA.Director!$D:$D,"&gt;"&amp;0)+sumifs(ADC.Director!$D:$D,ADC.Director!$B:$B,$D76,ADC.Director!$A:$A,"&gt;="&amp;L$60,ADC.Director!$A:$A,"&lt;="&amp;L$61,ADC.Director!$D:$D,"&gt;"&amp;0)+sumifs('000'!$D:$D,'000'!$B:$B,$D76,'000'!$A:$A,"&gt;="&amp;L$60,'000'!$A:$A,"&lt;="&amp;L$61,'000'!$D:$D,"&gt;"&amp;0)+sumifs('500'!$D:$D,'500'!$B:$B,$D76,'500'!$A:$A,"&gt;="&amp;L$60,'500'!$A:$A,"&lt;="&amp;L$60,'500'!$D:$D,"&gt;"&amp;0)+sumifs('300'!$D:$D,'300'!$B:$B,$D76,'300'!$A:$A,"&gt;="&amp;L$60,'300'!$A:$A,"&lt;="&amp;L$61,'300'!$D:$D,"&gt;"&amp;0)+sumifs('600.VPA'!$D:$D,'600.VPA'!$B:$B,$D76,'600.VPA'!$A:$A,"&gt;="&amp;L$60,'600.VPA'!$A:$A,"&lt;="&amp;L$61,'600.VPA'!$D:$D,"&gt;"&amp;0)</f>
        <v>0</v>
      </c>
      <c r="M76" s="157">
        <f>sumifs(Boss!$D:$D,Boss!$B:$B,$D76,Boss!$A:$A,"&gt;="&amp;M$60,Boss!$A:$A,"&lt;="&amp;M$61,Boss!$D:$D,"&lt;"&amp;0)+sumifs(VPA.Director!$D:$D,VPA.Director!$B:$B,$D76,VPA.Director!$A:$A,"&gt;="&amp;M$60,VPA.Director!$A:$A,"&lt;="&amp;M$61,VPA.Director!$D:$D,"&lt;"&amp;0)+sumifs(ADC.Director!$D:$D,ADC.Director!$B:$B,$D76,ADC.Director!$A:$A,"&gt;="&amp;M$60,ADC.Director!$A:$A,"&lt;="&amp;M$61,ADC.Director!$D:$D,"&lt;"&amp;0)+sumifs('000'!$D:$D,'000'!$B:$B,$D76,'000'!$A:$A,"&gt;="&amp;M$60,'000'!$A:$A,"&lt;="&amp;M$61,'000'!$D:$D,"&lt;"&amp;0)+sumifs('500'!$D:$D,'500'!$B:$B,$D76,'500'!$A:$A,"&gt;="&amp;M$60,'500'!$A:$A,"&lt;="&amp;M$61,'500'!$D:$D,"&lt;"&amp;0)+sumifs('300'!$D:$D,'300'!$B:$B,$D76,'300'!$A:$A,"&gt;="&amp;M$60,'300'!$A:$A,"&lt;="&amp;M$61,'300'!$D:$D,"&lt;"&amp;0)+sumifs('600.VPA'!$D:$D,'600.VPA'!$B:$B,$D76,'600.VPA'!$A:$A,"&gt;="&amp;M$60,'600.VPA'!$A:$A,"&lt;="&amp;M$61,'600.VPA'!$D:$D,"&lt;"&amp;0)</f>
        <v>0</v>
      </c>
      <c r="N76" s="158">
        <f>sumifs(Boss!$D:$D,Boss!$B:$B,$D76,Boss!$A:$A,"&gt;="&amp;N$60,Boss!$A:$A,"&lt;="&amp;N$61,Boss!$D:$D,"&gt;"&amp;0)+sumifs(VPA.Director!$D:$D,VPA.Director!$B:$B,$D76,VPA.Director!$A:$A,"&gt;="&amp;N$60,VPA.Director!$A:$A,"&lt;="&amp;N$61,VPA.Director!$D:$D,"&gt;"&amp;0)+sumifs(ADC.Director!$D:$D,ADC.Director!$B:$B,$D76,ADC.Director!$A:$A,"&gt;="&amp;N$60,ADC.Director!$A:$A,"&lt;="&amp;N$61,ADC.Director!$D:$D,"&gt;"&amp;0)+sumifs('000'!$D:$D,'000'!$B:$B,$D76,'000'!$A:$A,"&gt;="&amp;N$60,'000'!$A:$A,"&lt;="&amp;N$61,'000'!$D:$D,"&gt;"&amp;0)+sumifs('500'!$D:$D,'500'!$B:$B,$D76,'500'!$A:$A,"&gt;="&amp;N$60,'500'!$A:$A,"&lt;="&amp;N$60,'500'!$D:$D,"&gt;"&amp;0)+sumifs('300'!$D:$D,'300'!$B:$B,$D76,'300'!$A:$A,"&gt;="&amp;N$60,'300'!$A:$A,"&lt;="&amp;N$61,'300'!$D:$D,"&gt;"&amp;0)+sumifs('600.VPA'!$D:$D,'600.VPA'!$B:$B,$D76,'600.VPA'!$A:$A,"&gt;="&amp;N$60,'600.VPA'!$A:$A,"&lt;="&amp;N$61,'600.VPA'!$D:$D,"&gt;"&amp;0)</f>
        <v>0</v>
      </c>
      <c r="O76" s="157">
        <f>sumifs(Boss!$D:$D,Boss!$B:$B,$D76,Boss!$A:$A,"&gt;="&amp;O$60,Boss!$A:$A,"&lt;="&amp;O$61,Boss!$D:$D,"&lt;"&amp;0)+sumifs(VPA.Director!$D:$D,VPA.Director!$B:$B,$D76,VPA.Director!$A:$A,"&gt;="&amp;O$60,VPA.Director!$A:$A,"&lt;="&amp;O$61,VPA.Director!$D:$D,"&lt;"&amp;0)+sumifs(ADC.Director!$D:$D,ADC.Director!$B:$B,$D76,ADC.Director!$A:$A,"&gt;="&amp;O$60,ADC.Director!$A:$A,"&lt;="&amp;O$61,ADC.Director!$D:$D,"&lt;"&amp;0)+sumifs('000'!$D:$D,'000'!$B:$B,$D76,'000'!$A:$A,"&gt;="&amp;O$60,'000'!$A:$A,"&lt;="&amp;O$61,'000'!$D:$D,"&lt;"&amp;0)+sumifs('500'!$D:$D,'500'!$B:$B,$D76,'500'!$A:$A,"&gt;="&amp;O$60,'500'!$A:$A,"&lt;="&amp;O$61,'500'!$D:$D,"&lt;"&amp;0)+sumifs('300'!$D:$D,'300'!$B:$B,$D76,'300'!$A:$A,"&gt;="&amp;O$60,'300'!$A:$A,"&lt;="&amp;O$61,'300'!$D:$D,"&lt;"&amp;0)+sumifs('600.VPA'!$D:$D,'600.VPA'!$B:$B,$D76,'600.VPA'!$A:$A,"&gt;="&amp;O$60,'600.VPA'!$A:$A,"&lt;="&amp;O$61,'600.VPA'!$D:$D,"&lt;"&amp;0)</f>
        <v>0</v>
      </c>
      <c r="P76" s="158">
        <f>sumifs(Boss!$D:$D,Boss!$B:$B,$D76,Boss!$A:$A,"&gt;="&amp;P$60,Boss!$A:$A,"&lt;="&amp;P$61,Boss!$D:$D,"&gt;"&amp;0)+sumifs(VPA.Director!$D:$D,VPA.Director!$B:$B,$D76,VPA.Director!$A:$A,"&gt;="&amp;P$60,VPA.Director!$A:$A,"&lt;="&amp;P$61,VPA.Director!$D:$D,"&gt;"&amp;0)+sumifs(ADC.Director!$D:$D,ADC.Director!$B:$B,$D76,ADC.Director!$A:$A,"&gt;="&amp;P$60,ADC.Director!$A:$A,"&lt;="&amp;P$61,ADC.Director!$D:$D,"&gt;"&amp;0)+sumifs('000'!$D:$D,'000'!$B:$B,$D76,'000'!$A:$A,"&gt;="&amp;P$60,'000'!$A:$A,"&lt;="&amp;P$61,'000'!$D:$D,"&gt;"&amp;0)+sumifs('500'!$D:$D,'500'!$B:$B,$D76,'500'!$A:$A,"&gt;="&amp;P$60,'500'!$A:$A,"&lt;="&amp;P$60,'500'!$D:$D,"&gt;"&amp;0)+sumifs('300'!$D:$D,'300'!$B:$B,$D76,'300'!$A:$A,"&gt;="&amp;P$60,'300'!$A:$A,"&lt;="&amp;P$61,'300'!$D:$D,"&gt;"&amp;0)+sumifs('600.VPA'!$D:$D,'600.VPA'!$B:$B,$D76,'600.VPA'!$A:$A,"&gt;="&amp;P$60,'600.VPA'!$A:$A,"&lt;="&amp;P$61,'600.VPA'!$D:$D,"&gt;"&amp;0)</f>
        <v>0</v>
      </c>
      <c r="Q76" s="157">
        <f>sumifs(Boss!$D:$D,Boss!$B:$B,$D76,Boss!$A:$A,"&gt;="&amp;Q$60,Boss!$A:$A,"&lt;="&amp;Q$61,Boss!$D:$D,"&lt;"&amp;0)+sumifs(VPA.Director!$D:$D,VPA.Director!$B:$B,$D76,VPA.Director!$A:$A,"&gt;="&amp;Q$60,VPA.Director!$A:$A,"&lt;="&amp;Q$61,VPA.Director!$D:$D,"&lt;"&amp;0)+sumifs(ADC.Director!$D:$D,ADC.Director!$B:$B,$D76,ADC.Director!$A:$A,"&gt;="&amp;Q$60,ADC.Director!$A:$A,"&lt;="&amp;Q$61,ADC.Director!$D:$D,"&lt;"&amp;0)+sumifs('000'!$D:$D,'000'!$B:$B,$D76,'000'!$A:$A,"&gt;="&amp;Q$60,'000'!$A:$A,"&lt;="&amp;Q$61,'000'!$D:$D,"&lt;"&amp;0)+sumifs('500'!$D:$D,'500'!$B:$B,$D76,'500'!$A:$A,"&gt;="&amp;Q$60,'500'!$A:$A,"&lt;="&amp;Q$61,'500'!$D:$D,"&lt;"&amp;0)+sumifs('300'!$D:$D,'300'!$B:$B,$D76,'300'!$A:$A,"&gt;="&amp;Q$60,'300'!$A:$A,"&lt;="&amp;Q$61,'300'!$D:$D,"&lt;"&amp;0)+sumifs('600.VPA'!$D:$D,'600.VPA'!$B:$B,$D76,'600.VPA'!$A:$A,"&gt;="&amp;Q$60,'600.VPA'!$A:$A,"&lt;="&amp;Q$61,'600.VPA'!$D:$D,"&lt;"&amp;0)</f>
        <v>0</v>
      </c>
      <c r="R76" s="158">
        <f>sumifs(Boss!$D:$D,Boss!$B:$B,$D76,Boss!$A:$A,"&gt;="&amp;R$60,Boss!$A:$A,"&lt;="&amp;R$61,Boss!$D:$D,"&gt;"&amp;0)+sumifs(VPA.Director!$D:$D,VPA.Director!$B:$B,$D76,VPA.Director!$A:$A,"&gt;="&amp;R$60,VPA.Director!$A:$A,"&lt;="&amp;R$61,VPA.Director!$D:$D,"&gt;"&amp;0)+sumifs(ADC.Director!$D:$D,ADC.Director!$B:$B,$D76,ADC.Director!$A:$A,"&gt;="&amp;R$60,ADC.Director!$A:$A,"&lt;="&amp;R$61,ADC.Director!$D:$D,"&gt;"&amp;0)+sumifs('000'!$D:$D,'000'!$B:$B,$D76,'000'!$A:$A,"&gt;="&amp;R$60,'000'!$A:$A,"&lt;="&amp;R$61,'000'!$D:$D,"&gt;"&amp;0)+sumifs('500'!$D:$D,'500'!$B:$B,$D76,'500'!$A:$A,"&gt;="&amp;R$60,'500'!$A:$A,"&lt;="&amp;R$60,'500'!$D:$D,"&gt;"&amp;0)+sumifs('300'!$D:$D,'300'!$B:$B,$D76,'300'!$A:$A,"&gt;="&amp;R$60,'300'!$A:$A,"&lt;="&amp;R$61,'300'!$D:$D,"&gt;"&amp;0)+sumifs('600.VPA'!$D:$D,'600.VPA'!$B:$B,$D76,'600.VPA'!$A:$A,"&gt;="&amp;R$60,'600.VPA'!$A:$A,"&lt;="&amp;R$61,'600.VPA'!$D:$D,"&gt;"&amp;0)</f>
        <v>0</v>
      </c>
      <c r="S76" s="157">
        <f>sumifs(Boss!$D:$D,Boss!$B:$B,$D76,Boss!$A:$A,"&gt;="&amp;S$60,Boss!$A:$A,"&lt;="&amp;S$61,Boss!$D:$D,"&lt;"&amp;0)+sumifs(VPA.Director!$D:$D,VPA.Director!$B:$B,$D76,VPA.Director!$A:$A,"&gt;="&amp;S$60,VPA.Director!$A:$A,"&lt;="&amp;S$61,VPA.Director!$D:$D,"&lt;"&amp;0)+sumifs(ADC.Director!$D:$D,ADC.Director!$B:$B,$D76,ADC.Director!$A:$A,"&gt;="&amp;S$60,ADC.Director!$A:$A,"&lt;="&amp;S$61,ADC.Director!$D:$D,"&lt;"&amp;0)+sumifs('000'!$D:$D,'000'!$B:$B,$D76,'000'!$A:$A,"&gt;="&amp;S$60,'000'!$A:$A,"&lt;="&amp;S$61,'000'!$D:$D,"&lt;"&amp;0)+sumifs('500'!$D:$D,'500'!$B:$B,$D76,'500'!$A:$A,"&gt;="&amp;S$60,'500'!$A:$A,"&lt;="&amp;S$61,'500'!$D:$D,"&lt;"&amp;0)+sumifs('300'!$D:$D,'300'!$B:$B,$D76,'300'!$A:$A,"&gt;="&amp;S$60,'300'!$A:$A,"&lt;="&amp;S$61,'300'!$D:$D,"&lt;"&amp;0)+sumifs('600.VPA'!$D:$D,'600.VPA'!$B:$B,$D76,'600.VPA'!$A:$A,"&gt;="&amp;S$60,'600.VPA'!$A:$A,"&lt;="&amp;S$61,'600.VPA'!$D:$D,"&lt;"&amp;0)</f>
        <v>0</v>
      </c>
      <c r="T76" s="158">
        <f>sumifs(Boss!$D:$D,Boss!$B:$B,$D76,Boss!$A:$A,"&gt;="&amp;T$60,Boss!$A:$A,"&lt;="&amp;T$61,Boss!$D:$D,"&gt;"&amp;0)+sumifs(VPA.Director!$D:$D,VPA.Director!$B:$B,$D76,VPA.Director!$A:$A,"&gt;="&amp;T$60,VPA.Director!$A:$A,"&lt;="&amp;T$61,VPA.Director!$D:$D,"&gt;"&amp;0)+sumifs(ADC.Director!$D:$D,ADC.Director!$B:$B,$D76,ADC.Director!$A:$A,"&gt;="&amp;T$60,ADC.Director!$A:$A,"&lt;="&amp;T$61,ADC.Director!$D:$D,"&gt;"&amp;0)+sumifs('000'!$D:$D,'000'!$B:$B,$D76,'000'!$A:$A,"&gt;="&amp;T$60,'000'!$A:$A,"&lt;="&amp;T$61,'000'!$D:$D,"&gt;"&amp;0)+sumifs('500'!$D:$D,'500'!$B:$B,$D76,'500'!$A:$A,"&gt;="&amp;T$60,'500'!$A:$A,"&lt;="&amp;T$60,'500'!$D:$D,"&gt;"&amp;0)+sumifs('300'!$D:$D,'300'!$B:$B,$D76,'300'!$A:$A,"&gt;="&amp;T$60,'300'!$A:$A,"&lt;="&amp;T$61,'300'!$D:$D,"&gt;"&amp;0)+sumifs('600.VPA'!$D:$D,'600.VPA'!$B:$B,$D76,'600.VPA'!$A:$A,"&gt;="&amp;T$60,'600.VPA'!$A:$A,"&lt;="&amp;T$61,'600.VPA'!$D:$D,"&gt;"&amp;0)</f>
        <v>0</v>
      </c>
      <c r="U76" s="153"/>
      <c r="V76" s="157">
        <f>sumifs(Boss!$D:$D,Boss!$B:$B,$D76,Boss!$A:$A,"&gt;="&amp;V$60,Boss!$A:$A,"&lt;="&amp;V$61,Boss!$D:$D,"&lt;"&amp;0)+sumifs(VPA.Director!$D:$D,VPA.Director!$B:$B,$D76,VPA.Director!$A:$A,"&gt;="&amp;V$60,VPA.Director!$A:$A,"&lt;="&amp;V$61,VPA.Director!$D:$D,"&lt;"&amp;0)+sumifs(ADC.Director!$D:$D,ADC.Director!$B:$B,$D76,ADC.Director!$A:$A,"&gt;="&amp;V$60,ADC.Director!$A:$A,"&lt;="&amp;V$61,ADC.Director!$D:$D,"&lt;"&amp;0)+sumifs('000'!$D:$D,'000'!$B:$B,$D76,'000'!$A:$A,"&gt;="&amp;V$60,'000'!$A:$A,"&lt;="&amp;V$61,'000'!$D:$D,"&lt;"&amp;0)+sumifs('500'!$D:$D,'500'!$B:$B,$D76,'500'!$A:$A,"&gt;="&amp;V$60,'500'!$A:$A,"&lt;="&amp;V$61,'500'!$D:$D,"&lt;"&amp;0)+sumifs('300'!$D:$D,'300'!$B:$B,$D76,'300'!$A:$A,"&gt;="&amp;V$60,'300'!$A:$A,"&lt;="&amp;V$61,'300'!$D:$D,"&lt;"&amp;0)+sumifs('600.VPA'!$D:$D,'600.VPA'!$B:$B,$D76,'600.VPA'!$A:$A,"&gt;="&amp;V$60,'600.VPA'!$A:$A,"&lt;="&amp;V$61,'600.VPA'!$D:$D,"&lt;"&amp;0)</f>
        <v>0</v>
      </c>
      <c r="W76" s="158">
        <f>sumifs(Boss!$D:$D,Boss!$B:$B,$D76,Boss!$A:$A,"&gt;="&amp;W$60,Boss!$A:$A,"&lt;="&amp;W$61,Boss!$D:$D,"&gt;"&amp;0)+sumifs(VPA.Director!$D:$D,VPA.Director!$B:$B,$D76,VPA.Director!$A:$A,"&gt;="&amp;W$60,VPA.Director!$A:$A,"&lt;="&amp;W$61,VPA.Director!$D:$D,"&gt;"&amp;0)+sumifs(ADC.Director!$D:$D,ADC.Director!$B:$B,$D76,ADC.Director!$A:$A,"&gt;="&amp;W$60,ADC.Director!$A:$A,"&lt;="&amp;W$61,ADC.Director!$D:$D,"&gt;"&amp;0)+sumifs('000'!$D:$D,'000'!$B:$B,$D76,'000'!$A:$A,"&gt;="&amp;W$60,'000'!$A:$A,"&lt;="&amp;W$61,'000'!$D:$D,"&gt;"&amp;0)+sumifs('500'!$D:$D,'500'!$B:$B,$D76,'500'!$A:$A,"&gt;="&amp;W$60,'500'!$A:$A,"&lt;="&amp;W$60,'500'!$D:$D,"&gt;"&amp;0)+sumifs('300'!$D:$D,'300'!$B:$B,$D76,'300'!$A:$A,"&gt;="&amp;W$60,'300'!$A:$A,"&lt;="&amp;W$61,'300'!$D:$D,"&gt;"&amp;0)+sumifs('600.VPA'!$D:$D,'600.VPA'!$B:$B,$D76,'600.VPA'!$A:$A,"&gt;="&amp;W$60,'600.VPA'!$A:$A,"&lt;="&amp;W$61,'600.VPA'!$D:$D,"&gt;"&amp;0)</f>
        <v>0</v>
      </c>
      <c r="X76" s="157">
        <f>sumifs(Boss!$D:$D,Boss!$B:$B,$D76,Boss!$A:$A,"&gt;="&amp;X$60,Boss!$A:$A,"&lt;="&amp;X$61,Boss!$D:$D,"&lt;"&amp;0)+sumifs(VPA.Director!$D:$D,VPA.Director!$B:$B,$D76,VPA.Director!$A:$A,"&gt;="&amp;X$60,VPA.Director!$A:$A,"&lt;="&amp;X$61,VPA.Director!$D:$D,"&lt;"&amp;0)+sumifs(ADC.Director!$D:$D,ADC.Director!$B:$B,$D76,ADC.Director!$A:$A,"&gt;="&amp;X$60,ADC.Director!$A:$A,"&lt;="&amp;X$61,ADC.Director!$D:$D,"&lt;"&amp;0)+sumifs('000'!$D:$D,'000'!$B:$B,$D76,'000'!$A:$A,"&gt;="&amp;X$60,'000'!$A:$A,"&lt;="&amp;X$61,'000'!$D:$D,"&lt;"&amp;0)+sumifs('500'!$D:$D,'500'!$B:$B,$D76,'500'!$A:$A,"&gt;="&amp;X$60,'500'!$A:$A,"&lt;="&amp;X$61,'500'!$D:$D,"&lt;"&amp;0)+sumifs('300'!$D:$D,'300'!$B:$B,$D76,'300'!$A:$A,"&gt;="&amp;X$60,'300'!$A:$A,"&lt;="&amp;X$61,'300'!$D:$D,"&lt;"&amp;0)+sumifs('600.VPA'!$D:$D,'600.VPA'!$B:$B,$D76,'600.VPA'!$A:$A,"&gt;="&amp;X$60,'600.VPA'!$A:$A,"&lt;="&amp;X$61,'600.VPA'!$D:$D,"&lt;"&amp;0)</f>
        <v>0</v>
      </c>
      <c r="Y76" s="158">
        <f>sumifs(Boss!$D:$D,Boss!$B:$B,$D76,Boss!$A:$A,"&gt;="&amp;Y$60,Boss!$A:$A,"&lt;="&amp;Y$61,Boss!$D:$D,"&gt;"&amp;0)+sumifs(VPA.Director!$D:$D,VPA.Director!$B:$B,$D76,VPA.Director!$A:$A,"&gt;="&amp;Y$60,VPA.Director!$A:$A,"&lt;="&amp;Y$61,VPA.Director!$D:$D,"&gt;"&amp;0)+sumifs(ADC.Director!$D:$D,ADC.Director!$B:$B,$D76,ADC.Director!$A:$A,"&gt;="&amp;Y$60,ADC.Director!$A:$A,"&lt;="&amp;Y$61,ADC.Director!$D:$D,"&gt;"&amp;0)+sumifs('000'!$D:$D,'000'!$B:$B,$D76,'000'!$A:$A,"&gt;="&amp;Y$60,'000'!$A:$A,"&lt;="&amp;Y$61,'000'!$D:$D,"&gt;"&amp;0)+sumifs('500'!$D:$D,'500'!$B:$B,$D76,'500'!$A:$A,"&gt;="&amp;Y$60,'500'!$A:$A,"&lt;="&amp;Y$60,'500'!$D:$D,"&gt;"&amp;0)+sumifs('300'!$D:$D,'300'!$B:$B,$D76,'300'!$A:$A,"&gt;="&amp;Y$60,'300'!$A:$A,"&lt;="&amp;Y$61,'300'!$D:$D,"&gt;"&amp;0)+sumifs('600.VPA'!$D:$D,'600.VPA'!$B:$B,$D76,'600.VPA'!$A:$A,"&gt;="&amp;Y$60,'600.VPA'!$A:$A,"&lt;="&amp;Y$61,'600.VPA'!$D:$D,"&gt;"&amp;0)</f>
        <v>0</v>
      </c>
      <c r="Z76" s="157">
        <f>sumifs(Boss!$D:$D,Boss!$B:$B,$D76,Boss!$A:$A,"&gt;="&amp;Z$60,Boss!$A:$A,"&lt;="&amp;Z$61,Boss!$D:$D,"&lt;"&amp;0)+sumifs(VPA.Director!$D:$D,VPA.Director!$B:$B,$D76,VPA.Director!$A:$A,"&gt;="&amp;Z$60,VPA.Director!$A:$A,"&lt;="&amp;Z$61,VPA.Director!$D:$D,"&lt;"&amp;0)+sumifs(ADC.Director!$D:$D,ADC.Director!$B:$B,$D76,ADC.Director!$A:$A,"&gt;="&amp;Z$60,ADC.Director!$A:$A,"&lt;="&amp;Z$61,ADC.Director!$D:$D,"&lt;"&amp;0)+sumifs('000'!$D:$D,'000'!$B:$B,$D76,'000'!$A:$A,"&gt;="&amp;Z$60,'000'!$A:$A,"&lt;="&amp;Z$61,'000'!$D:$D,"&lt;"&amp;0)+sumifs('500'!$D:$D,'500'!$B:$B,$D76,'500'!$A:$A,"&gt;="&amp;Z$60,'500'!$A:$A,"&lt;="&amp;Z$61,'500'!$D:$D,"&lt;"&amp;0)+sumifs('300'!$D:$D,'300'!$B:$B,$D76,'300'!$A:$A,"&gt;="&amp;Z$60,'300'!$A:$A,"&lt;="&amp;Z$61,'300'!$D:$D,"&lt;"&amp;0)+sumifs('600.VPA'!$D:$D,'600.VPA'!$B:$B,$D76,'600.VPA'!$A:$A,"&gt;="&amp;Z$60,'600.VPA'!$A:$A,"&lt;="&amp;Z$61,'600.VPA'!$D:$D,"&lt;"&amp;0)</f>
        <v>0</v>
      </c>
      <c r="AA76" s="158">
        <f>sumifs(Boss!$D:$D,Boss!$B:$B,$D76,Boss!$A:$A,"&gt;="&amp;AA$60,Boss!$A:$A,"&lt;="&amp;AA$61,Boss!$D:$D,"&gt;"&amp;0)+sumifs(VPA.Director!$D:$D,VPA.Director!$B:$B,$D76,VPA.Director!$A:$A,"&gt;="&amp;AA$60,VPA.Director!$A:$A,"&lt;="&amp;AA$61,VPA.Director!$D:$D,"&gt;"&amp;0)+sumifs(ADC.Director!$D:$D,ADC.Director!$B:$B,$D76,ADC.Director!$A:$A,"&gt;="&amp;AA$60,ADC.Director!$A:$A,"&lt;="&amp;AA$61,ADC.Director!$D:$D,"&gt;"&amp;0)+sumifs('000'!$D:$D,'000'!$B:$B,$D76,'000'!$A:$A,"&gt;="&amp;AA$60,'000'!$A:$A,"&lt;="&amp;AA$61,'000'!$D:$D,"&gt;"&amp;0)+sumifs('500'!$D:$D,'500'!$B:$B,$D76,'500'!$A:$A,"&gt;="&amp;AA$60,'500'!$A:$A,"&lt;="&amp;AA$60,'500'!$D:$D,"&gt;"&amp;0)+sumifs('300'!$D:$D,'300'!$B:$B,$D76,'300'!$A:$A,"&gt;="&amp;AA$60,'300'!$A:$A,"&lt;="&amp;AA$61,'300'!$D:$D,"&gt;"&amp;0)+sumifs('600.VPA'!$D:$D,'600.VPA'!$B:$B,$D76,'600.VPA'!$A:$A,"&gt;="&amp;AA$60,'600.VPA'!$A:$A,"&lt;="&amp;AA$61,'600.VPA'!$D:$D,"&gt;"&amp;0)</f>
        <v>0</v>
      </c>
      <c r="AB76" s="157">
        <f>sumifs(Boss!$D:$D,Boss!$B:$B,$D76,Boss!$A:$A,"&gt;="&amp;AB$60,Boss!$A:$A,"&lt;="&amp;AB$61,Boss!$D:$D,"&lt;"&amp;0)+sumifs(VPA.Director!$D:$D,VPA.Director!$B:$B,$D76,VPA.Director!$A:$A,"&gt;="&amp;AB$60,VPA.Director!$A:$A,"&lt;="&amp;AB$61,VPA.Director!$D:$D,"&lt;"&amp;0)+sumifs(ADC.Director!$D:$D,ADC.Director!$B:$B,$D76,ADC.Director!$A:$A,"&gt;="&amp;AB$60,ADC.Director!$A:$A,"&lt;="&amp;AB$61,ADC.Director!$D:$D,"&lt;"&amp;0)+sumifs('000'!$D:$D,'000'!$B:$B,$D76,'000'!$A:$A,"&gt;="&amp;AB$60,'000'!$A:$A,"&lt;="&amp;AB$61,'000'!$D:$D,"&lt;"&amp;0)+sumifs('500'!$D:$D,'500'!$B:$B,$D76,'500'!$A:$A,"&gt;="&amp;AB$60,'500'!$A:$A,"&lt;="&amp;AB$61,'500'!$D:$D,"&lt;"&amp;0)+sumifs('300'!$D:$D,'300'!$B:$B,$D76,'300'!$A:$A,"&gt;="&amp;AB$60,'300'!$A:$A,"&lt;="&amp;AB$61,'300'!$D:$D,"&lt;"&amp;0)+sumifs('600.VPA'!$D:$D,'600.VPA'!$B:$B,$D76,'600.VPA'!$A:$A,"&gt;="&amp;AB$60,'600.VPA'!$A:$A,"&lt;="&amp;AB$61,'600.VPA'!$D:$D,"&lt;"&amp;0)</f>
        <v>0</v>
      </c>
      <c r="AC76" s="158">
        <f>sumifs(Boss!$D:$D,Boss!$B:$B,$D76,Boss!$A:$A,"&gt;="&amp;AC$60,Boss!$A:$A,"&lt;="&amp;AC$61,Boss!$D:$D,"&gt;"&amp;0)+sumifs(VPA.Director!$D:$D,VPA.Director!$B:$B,$D76,VPA.Director!$A:$A,"&gt;="&amp;AC$60,VPA.Director!$A:$A,"&lt;="&amp;AC$61,VPA.Director!$D:$D,"&gt;"&amp;0)+sumifs(ADC.Director!$D:$D,ADC.Director!$B:$B,$D76,ADC.Director!$A:$A,"&gt;="&amp;AC$60,ADC.Director!$A:$A,"&lt;="&amp;AC$61,ADC.Director!$D:$D,"&gt;"&amp;0)+sumifs('000'!$D:$D,'000'!$B:$B,$D76,'000'!$A:$A,"&gt;="&amp;AC$60,'000'!$A:$A,"&lt;="&amp;AC$61,'000'!$D:$D,"&gt;"&amp;0)+sumifs('500'!$D:$D,'500'!$B:$B,$D76,'500'!$A:$A,"&gt;="&amp;AC$60,'500'!$A:$A,"&lt;="&amp;AC$60,'500'!$D:$D,"&gt;"&amp;0)+sumifs('300'!$D:$D,'300'!$B:$B,$D76,'300'!$A:$A,"&gt;="&amp;AC$60,'300'!$A:$A,"&lt;="&amp;AC$61,'300'!$D:$D,"&gt;"&amp;0)+sumifs('600.VPA'!$D:$D,'600.VPA'!$B:$B,$D76,'600.VPA'!$A:$A,"&gt;="&amp;AC$60,'600.VPA'!$A:$A,"&lt;="&amp;AC$61,'600.VPA'!$D:$D,"&gt;"&amp;0)</f>
        <v>0</v>
      </c>
      <c r="AD76" s="157">
        <f>sumifs(Boss!$D:$D,Boss!$B:$B,$D76,Boss!$A:$A,"&gt;="&amp;AD$60,Boss!$A:$A,"&lt;="&amp;AD$61,Boss!$D:$D,"&lt;"&amp;0)+sumifs(VPA.Director!$D:$D,VPA.Director!$B:$B,$D76,VPA.Director!$A:$A,"&gt;="&amp;AD$60,VPA.Director!$A:$A,"&lt;="&amp;AD$61,VPA.Director!$D:$D,"&lt;"&amp;0)+sumifs(ADC.Director!$D:$D,ADC.Director!$B:$B,$D76,ADC.Director!$A:$A,"&gt;="&amp;AD$60,ADC.Director!$A:$A,"&lt;="&amp;AD$61,ADC.Director!$D:$D,"&lt;"&amp;0)+sumifs('000'!$D:$D,'000'!$B:$B,$D76,'000'!$A:$A,"&gt;="&amp;AD$60,'000'!$A:$A,"&lt;="&amp;AD$61,'000'!$D:$D,"&lt;"&amp;0)+sumifs('500'!$D:$D,'500'!$B:$B,$D76,'500'!$A:$A,"&gt;="&amp;AD$60,'500'!$A:$A,"&lt;="&amp;AD$61,'500'!$D:$D,"&lt;"&amp;0)+sumifs('300'!$D:$D,'300'!$B:$B,$D76,'300'!$A:$A,"&gt;="&amp;AD$60,'300'!$A:$A,"&lt;="&amp;AD$61,'300'!$D:$D,"&lt;"&amp;0)+sumifs('600.VPA'!$D:$D,'600.VPA'!$B:$B,$D76,'600.VPA'!$A:$A,"&gt;="&amp;AD$60,'600.VPA'!$A:$A,"&lt;="&amp;AD$61,'600.VPA'!$D:$D,"&lt;"&amp;0)</f>
        <v>0</v>
      </c>
      <c r="AE76" s="158">
        <f>sumifs(Boss!$D:$D,Boss!$B:$B,$D76,Boss!$A:$A,"&gt;="&amp;AE$60,Boss!$A:$A,"&lt;="&amp;AE$61,Boss!$D:$D,"&gt;"&amp;0)+sumifs(VPA.Director!$D:$D,VPA.Director!$B:$B,$D76,VPA.Director!$A:$A,"&gt;="&amp;AE$60,VPA.Director!$A:$A,"&lt;="&amp;AE$61,VPA.Director!$D:$D,"&gt;"&amp;0)+sumifs(ADC.Director!$D:$D,ADC.Director!$B:$B,$D76,ADC.Director!$A:$A,"&gt;="&amp;AE$60,ADC.Director!$A:$A,"&lt;="&amp;AE$61,ADC.Director!$D:$D,"&gt;"&amp;0)+sumifs('000'!$D:$D,'000'!$B:$B,$D76,'000'!$A:$A,"&gt;="&amp;AE$60,'000'!$A:$A,"&lt;="&amp;AE$61,'000'!$D:$D,"&gt;"&amp;0)+sumifs('500'!$D:$D,'500'!$B:$B,$D76,'500'!$A:$A,"&gt;="&amp;AE$60,'500'!$A:$A,"&lt;="&amp;AE$60,'500'!$D:$D,"&gt;"&amp;0)+sumifs('300'!$D:$D,'300'!$B:$B,$D76,'300'!$A:$A,"&gt;="&amp;AE$60,'300'!$A:$A,"&lt;="&amp;AE$61,'300'!$D:$D,"&gt;"&amp;0)+sumifs('600.VPA'!$D:$D,'600.VPA'!$B:$B,$D76,'600.VPA'!$A:$A,"&gt;="&amp;AE$60,'600.VPA'!$A:$A,"&lt;="&amp;AE$61,'600.VPA'!$D:$D,"&gt;"&amp;0)</f>
        <v>0</v>
      </c>
      <c r="AF76" s="157">
        <f>sumifs(Boss!$D:$D,Boss!$B:$B,$D76,Boss!$A:$A,"&gt;="&amp;AF$60,Boss!$A:$A,"&lt;="&amp;AF$61,Boss!$D:$D,"&lt;"&amp;0)+sumifs(VPA.Director!$D:$D,VPA.Director!$B:$B,$D76,VPA.Director!$A:$A,"&gt;="&amp;AF$60,VPA.Director!$A:$A,"&lt;="&amp;AF$61,VPA.Director!$D:$D,"&lt;"&amp;0)+sumifs(ADC.Director!$D:$D,ADC.Director!$B:$B,$D76,ADC.Director!$A:$A,"&gt;="&amp;AF$60,ADC.Director!$A:$A,"&lt;="&amp;AF$61,ADC.Director!$D:$D,"&lt;"&amp;0)+sumifs('000'!$D:$D,'000'!$B:$B,$D76,'000'!$A:$A,"&gt;="&amp;AF$60,'000'!$A:$A,"&lt;="&amp;AF$61,'000'!$D:$D,"&lt;"&amp;0)+sumifs('500'!$D:$D,'500'!$B:$B,$D76,'500'!$A:$A,"&gt;="&amp;AF$60,'500'!$A:$A,"&lt;="&amp;AF$61,'500'!$D:$D,"&lt;"&amp;0)+sumifs('300'!$D:$D,'300'!$B:$B,$D76,'300'!$A:$A,"&gt;="&amp;AF$60,'300'!$A:$A,"&lt;="&amp;AF$61,'300'!$D:$D,"&lt;"&amp;0)+sumifs('600.VPA'!$D:$D,'600.VPA'!$B:$B,$D76,'600.VPA'!$A:$A,"&gt;="&amp;AF$60,'600.VPA'!$A:$A,"&lt;="&amp;AF$61,'600.VPA'!$D:$D,"&lt;"&amp;0)</f>
        <v>0</v>
      </c>
      <c r="AG76" s="158">
        <f>sumifs(Boss!$D:$D,Boss!$B:$B,$D76,Boss!$A:$A,"&gt;="&amp;AG$60,Boss!$A:$A,"&lt;="&amp;AG$61,Boss!$D:$D,"&gt;"&amp;0)+sumifs(VPA.Director!$D:$D,VPA.Director!$B:$B,$D76,VPA.Director!$A:$A,"&gt;="&amp;AG$60,VPA.Director!$A:$A,"&lt;="&amp;AG$61,VPA.Director!$D:$D,"&gt;"&amp;0)+sumifs(ADC.Director!$D:$D,ADC.Director!$B:$B,$D76,ADC.Director!$A:$A,"&gt;="&amp;AG$60,ADC.Director!$A:$A,"&lt;="&amp;AG$61,ADC.Director!$D:$D,"&gt;"&amp;0)+sumifs('000'!$D:$D,'000'!$B:$B,$D76,'000'!$A:$A,"&gt;="&amp;AG$60,'000'!$A:$A,"&lt;="&amp;AG$61,'000'!$D:$D,"&gt;"&amp;0)+sumifs('500'!$D:$D,'500'!$B:$B,$D76,'500'!$A:$A,"&gt;="&amp;AG$60,'500'!$A:$A,"&lt;="&amp;AG$60,'500'!$D:$D,"&gt;"&amp;0)+sumifs('300'!$D:$D,'300'!$B:$B,$D76,'300'!$A:$A,"&gt;="&amp;AG$60,'300'!$A:$A,"&lt;="&amp;AG$61,'300'!$D:$D,"&gt;"&amp;0)+sumifs('600.VPA'!$D:$D,'600.VPA'!$B:$B,$D76,'600.VPA'!$A:$A,"&gt;="&amp;AG$60,'600.VPA'!$A:$A,"&lt;="&amp;AG$61,'600.VPA'!$D:$D,"&gt;"&amp;0)</f>
        <v>0</v>
      </c>
      <c r="AH76" s="159">
        <f t="shared" ref="AH76:AI76" si="15">sum(I76,K76,M76,O76,Q76,S76,V76,X76,Z76,AB76,AD76,AF76)</f>
        <v>0</v>
      </c>
      <c r="AI76" s="160">
        <f t="shared" si="15"/>
        <v>0</v>
      </c>
      <c r="AJ76" s="159">
        <f t="shared" si="4"/>
        <v>0</v>
      </c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</row>
    <row r="77">
      <c r="A77" s="86"/>
      <c r="B77" s="153"/>
      <c r="D77" s="155" t="s">
        <v>85</v>
      </c>
      <c r="E77" s="156" t="s">
        <v>17</v>
      </c>
      <c r="F77" s="155" t="s">
        <v>151</v>
      </c>
      <c r="G77" s="155" t="s">
        <v>87</v>
      </c>
      <c r="H77" s="155" t="s">
        <v>88</v>
      </c>
      <c r="I77" s="157">
        <f>sumifs(Boss!$D:$D,Boss!$B:$B,$D77,Boss!$A:$A,"&gt;="&amp;I$60,Boss!$A:$A,"&lt;="&amp;I$61,Boss!$D:$D,"&lt;"&amp;0)+sumifs(VPA.Director!$D:$D,VPA.Director!$B:$B,$D77,VPA.Director!$A:$A,"&gt;="&amp;I$60,VPA.Director!$A:$A,"&lt;="&amp;I$61,VPA.Director!$D:$D,"&lt;"&amp;0)+sumifs(ADC.Director!$D:$D,ADC.Director!$B:$B,$D77,ADC.Director!$A:$A,"&gt;="&amp;I$60,ADC.Director!$A:$A,"&lt;="&amp;I$61,ADC.Director!$D:$D,"&lt;"&amp;0)+sumifs('000'!$D:$D,'000'!$B:$B,$D77,'000'!$A:$A,"&gt;="&amp;I$60,'000'!$A:$A,"&lt;="&amp;I$61,'000'!$D:$D,"&lt;"&amp;0)+sumifs('500'!$D:$D,'500'!$B:$B,$D77,'500'!$A:$A,"&gt;="&amp;I$60,'500'!$A:$A,"&lt;="&amp;I$61,'500'!$D:$D,"&lt;"&amp;0)+sumifs('300'!$D:$D,'300'!$B:$B,$D77,'300'!$A:$A,"&gt;="&amp;I$60,'300'!$A:$A,"&lt;="&amp;I$61,'300'!$D:$D,"&lt;"&amp;0)+sumifs('600.VPA'!$D:$D,'600.VPA'!$B:$B,$D77,'600.VPA'!$A:$A,"&gt;="&amp;I$60,'600.VPA'!$A:$A,"&lt;="&amp;I$61,'600.VPA'!$D:$D,"&lt;"&amp;0)</f>
        <v>0</v>
      </c>
      <c r="J77" s="158">
        <f>sumifs(Boss!$D:$D,Boss!$B:$B,$D77,Boss!$A:$A,"&gt;="&amp;J$60,Boss!$A:$A,"&lt;="&amp;J$61,Boss!$D:$D,"&gt;"&amp;0)+sumifs(VPA.Director!$D:$D,VPA.Director!$B:$B,$D77,VPA.Director!$A:$A,"&gt;="&amp;J$60,VPA.Director!$A:$A,"&lt;="&amp;J$61,VPA.Director!$D:$D,"&gt;"&amp;0)+sumifs(ADC.Director!$D:$D,ADC.Director!$B:$B,$D77,ADC.Director!$A:$A,"&gt;="&amp;J$60,ADC.Director!$A:$A,"&lt;="&amp;J$61,ADC.Director!$D:$D,"&gt;"&amp;0)+sumifs('000'!$D:$D,'000'!$B:$B,$D77,'000'!$A:$A,"&gt;="&amp;J$60,'000'!$A:$A,"&lt;="&amp;J$61,'000'!$D:$D,"&gt;"&amp;0)+sumifs('500'!$D:$D,'500'!$B:$B,$D77,'500'!$A:$A,"&gt;="&amp;J$60,'500'!$A:$A,"&lt;="&amp;J$60,'500'!$D:$D,"&gt;"&amp;0)+sumifs('300'!$D:$D,'300'!$B:$B,$D77,'300'!$A:$A,"&gt;="&amp;J$60,'300'!$A:$A,"&lt;="&amp;J$61,'300'!$D:$D,"&gt;"&amp;0)+sumifs('600.VPA'!$D:$D,'600.VPA'!$B:$B,$D77,'600.VPA'!$A:$A,"&gt;="&amp;J$60,'600.VPA'!$A:$A,"&lt;="&amp;J$61,'600.VPA'!$D:$D,"&gt;"&amp;0)</f>
        <v>0</v>
      </c>
      <c r="K77" s="157">
        <f>sumifs(Boss!$D:$D,Boss!$B:$B,$D77,Boss!$A:$A,"&gt;="&amp;K$60,Boss!$A:$A,"&lt;="&amp;K$61,Boss!$D:$D,"&lt;"&amp;0)+sumifs(VPA.Director!$D:$D,VPA.Director!$B:$B,$D77,VPA.Director!$A:$A,"&gt;="&amp;K$60,VPA.Director!$A:$A,"&lt;="&amp;K$61,VPA.Director!$D:$D,"&lt;"&amp;0)+sumifs(ADC.Director!$D:$D,ADC.Director!$B:$B,$D77,ADC.Director!$A:$A,"&gt;="&amp;K$60,ADC.Director!$A:$A,"&lt;="&amp;K$61,ADC.Director!$D:$D,"&lt;"&amp;0)+sumifs('000'!$D:$D,'000'!$B:$B,$D77,'000'!$A:$A,"&gt;="&amp;K$60,'000'!$A:$A,"&lt;="&amp;K$61,'000'!$D:$D,"&lt;"&amp;0)+sumifs('500'!$D:$D,'500'!$B:$B,$D77,'500'!$A:$A,"&gt;="&amp;K$60,'500'!$A:$A,"&lt;="&amp;K$61,'500'!$D:$D,"&lt;"&amp;0)+sumifs('300'!$D:$D,'300'!$B:$B,$D77,'300'!$A:$A,"&gt;="&amp;K$60,'300'!$A:$A,"&lt;="&amp;K$61,'300'!$D:$D,"&lt;"&amp;0)+sumifs('600.VPA'!$D:$D,'600.VPA'!$B:$B,$D77,'600.VPA'!$A:$A,"&gt;="&amp;K$60,'600.VPA'!$A:$A,"&lt;="&amp;K$61,'600.VPA'!$D:$D,"&lt;"&amp;0)</f>
        <v>0</v>
      </c>
      <c r="L77" s="158">
        <f>sumifs(Boss!$D:$D,Boss!$B:$B,$D77,Boss!$A:$A,"&gt;="&amp;L$60,Boss!$A:$A,"&lt;="&amp;L$61,Boss!$D:$D,"&gt;"&amp;0)+sumifs(VPA.Director!$D:$D,VPA.Director!$B:$B,$D77,VPA.Director!$A:$A,"&gt;="&amp;L$60,VPA.Director!$A:$A,"&lt;="&amp;L$61,VPA.Director!$D:$D,"&gt;"&amp;0)+sumifs(ADC.Director!$D:$D,ADC.Director!$B:$B,$D77,ADC.Director!$A:$A,"&gt;="&amp;L$60,ADC.Director!$A:$A,"&lt;="&amp;L$61,ADC.Director!$D:$D,"&gt;"&amp;0)+sumifs('000'!$D:$D,'000'!$B:$B,$D77,'000'!$A:$A,"&gt;="&amp;L$60,'000'!$A:$A,"&lt;="&amp;L$61,'000'!$D:$D,"&gt;"&amp;0)+sumifs('500'!$D:$D,'500'!$B:$B,$D77,'500'!$A:$A,"&gt;="&amp;L$60,'500'!$A:$A,"&lt;="&amp;L$60,'500'!$D:$D,"&gt;"&amp;0)+sumifs('300'!$D:$D,'300'!$B:$B,$D77,'300'!$A:$A,"&gt;="&amp;L$60,'300'!$A:$A,"&lt;="&amp;L$61,'300'!$D:$D,"&gt;"&amp;0)+sumifs('600.VPA'!$D:$D,'600.VPA'!$B:$B,$D77,'600.VPA'!$A:$A,"&gt;="&amp;L$60,'600.VPA'!$A:$A,"&lt;="&amp;L$61,'600.VPA'!$D:$D,"&gt;"&amp;0)</f>
        <v>0</v>
      </c>
      <c r="M77" s="157">
        <f>sumifs(Boss!$D:$D,Boss!$B:$B,$D77,Boss!$A:$A,"&gt;="&amp;M$60,Boss!$A:$A,"&lt;="&amp;M$61,Boss!$D:$D,"&lt;"&amp;0)+sumifs(VPA.Director!$D:$D,VPA.Director!$B:$B,$D77,VPA.Director!$A:$A,"&gt;="&amp;M$60,VPA.Director!$A:$A,"&lt;="&amp;M$61,VPA.Director!$D:$D,"&lt;"&amp;0)+sumifs(ADC.Director!$D:$D,ADC.Director!$B:$B,$D77,ADC.Director!$A:$A,"&gt;="&amp;M$60,ADC.Director!$A:$A,"&lt;="&amp;M$61,ADC.Director!$D:$D,"&lt;"&amp;0)+sumifs('000'!$D:$D,'000'!$B:$B,$D77,'000'!$A:$A,"&gt;="&amp;M$60,'000'!$A:$A,"&lt;="&amp;M$61,'000'!$D:$D,"&lt;"&amp;0)+sumifs('500'!$D:$D,'500'!$B:$B,$D77,'500'!$A:$A,"&gt;="&amp;M$60,'500'!$A:$A,"&lt;="&amp;M$61,'500'!$D:$D,"&lt;"&amp;0)+sumifs('300'!$D:$D,'300'!$B:$B,$D77,'300'!$A:$A,"&gt;="&amp;M$60,'300'!$A:$A,"&lt;="&amp;M$61,'300'!$D:$D,"&lt;"&amp;0)+sumifs('600.VPA'!$D:$D,'600.VPA'!$B:$B,$D77,'600.VPA'!$A:$A,"&gt;="&amp;M$60,'600.VPA'!$A:$A,"&lt;="&amp;M$61,'600.VPA'!$D:$D,"&lt;"&amp;0)</f>
        <v>0</v>
      </c>
      <c r="N77" s="158">
        <f>sumifs(Boss!$D:$D,Boss!$B:$B,$D77,Boss!$A:$A,"&gt;="&amp;N$60,Boss!$A:$A,"&lt;="&amp;N$61,Boss!$D:$D,"&gt;"&amp;0)+sumifs(VPA.Director!$D:$D,VPA.Director!$B:$B,$D77,VPA.Director!$A:$A,"&gt;="&amp;N$60,VPA.Director!$A:$A,"&lt;="&amp;N$61,VPA.Director!$D:$D,"&gt;"&amp;0)+sumifs(ADC.Director!$D:$D,ADC.Director!$B:$B,$D77,ADC.Director!$A:$A,"&gt;="&amp;N$60,ADC.Director!$A:$A,"&lt;="&amp;N$61,ADC.Director!$D:$D,"&gt;"&amp;0)+sumifs('000'!$D:$D,'000'!$B:$B,$D77,'000'!$A:$A,"&gt;="&amp;N$60,'000'!$A:$A,"&lt;="&amp;N$61,'000'!$D:$D,"&gt;"&amp;0)+sumifs('500'!$D:$D,'500'!$B:$B,$D77,'500'!$A:$A,"&gt;="&amp;N$60,'500'!$A:$A,"&lt;="&amp;N$60,'500'!$D:$D,"&gt;"&amp;0)+sumifs('300'!$D:$D,'300'!$B:$B,$D77,'300'!$A:$A,"&gt;="&amp;N$60,'300'!$A:$A,"&lt;="&amp;N$61,'300'!$D:$D,"&gt;"&amp;0)+sumifs('600.VPA'!$D:$D,'600.VPA'!$B:$B,$D77,'600.VPA'!$A:$A,"&gt;="&amp;N$60,'600.VPA'!$A:$A,"&lt;="&amp;N$61,'600.VPA'!$D:$D,"&gt;"&amp;0)</f>
        <v>0</v>
      </c>
      <c r="O77" s="157">
        <f>sumifs(Boss!$D:$D,Boss!$B:$B,$D77,Boss!$A:$A,"&gt;="&amp;O$60,Boss!$A:$A,"&lt;="&amp;O$61,Boss!$D:$D,"&lt;"&amp;0)+sumifs(VPA.Director!$D:$D,VPA.Director!$B:$B,$D77,VPA.Director!$A:$A,"&gt;="&amp;O$60,VPA.Director!$A:$A,"&lt;="&amp;O$61,VPA.Director!$D:$D,"&lt;"&amp;0)+sumifs(ADC.Director!$D:$D,ADC.Director!$B:$B,$D77,ADC.Director!$A:$A,"&gt;="&amp;O$60,ADC.Director!$A:$A,"&lt;="&amp;O$61,ADC.Director!$D:$D,"&lt;"&amp;0)+sumifs('000'!$D:$D,'000'!$B:$B,$D77,'000'!$A:$A,"&gt;="&amp;O$60,'000'!$A:$A,"&lt;="&amp;O$61,'000'!$D:$D,"&lt;"&amp;0)+sumifs('500'!$D:$D,'500'!$B:$B,$D77,'500'!$A:$A,"&gt;="&amp;O$60,'500'!$A:$A,"&lt;="&amp;O$61,'500'!$D:$D,"&lt;"&amp;0)+sumifs('300'!$D:$D,'300'!$B:$B,$D77,'300'!$A:$A,"&gt;="&amp;O$60,'300'!$A:$A,"&lt;="&amp;O$61,'300'!$D:$D,"&lt;"&amp;0)+sumifs('600.VPA'!$D:$D,'600.VPA'!$B:$B,$D77,'600.VPA'!$A:$A,"&gt;="&amp;O$60,'600.VPA'!$A:$A,"&lt;="&amp;O$61,'600.VPA'!$D:$D,"&lt;"&amp;0)</f>
        <v>0</v>
      </c>
      <c r="P77" s="158">
        <f>sumifs(Boss!$D:$D,Boss!$B:$B,$D77,Boss!$A:$A,"&gt;="&amp;P$60,Boss!$A:$A,"&lt;="&amp;P$61,Boss!$D:$D,"&gt;"&amp;0)+sumifs(VPA.Director!$D:$D,VPA.Director!$B:$B,$D77,VPA.Director!$A:$A,"&gt;="&amp;P$60,VPA.Director!$A:$A,"&lt;="&amp;P$61,VPA.Director!$D:$D,"&gt;"&amp;0)+sumifs(ADC.Director!$D:$D,ADC.Director!$B:$B,$D77,ADC.Director!$A:$A,"&gt;="&amp;P$60,ADC.Director!$A:$A,"&lt;="&amp;P$61,ADC.Director!$D:$D,"&gt;"&amp;0)+sumifs('000'!$D:$D,'000'!$B:$B,$D77,'000'!$A:$A,"&gt;="&amp;P$60,'000'!$A:$A,"&lt;="&amp;P$61,'000'!$D:$D,"&gt;"&amp;0)+sumifs('500'!$D:$D,'500'!$B:$B,$D77,'500'!$A:$A,"&gt;="&amp;P$60,'500'!$A:$A,"&lt;="&amp;P$60,'500'!$D:$D,"&gt;"&amp;0)+sumifs('300'!$D:$D,'300'!$B:$B,$D77,'300'!$A:$A,"&gt;="&amp;P$60,'300'!$A:$A,"&lt;="&amp;P$61,'300'!$D:$D,"&gt;"&amp;0)+sumifs('600.VPA'!$D:$D,'600.VPA'!$B:$B,$D77,'600.VPA'!$A:$A,"&gt;="&amp;P$60,'600.VPA'!$A:$A,"&lt;="&amp;P$61,'600.VPA'!$D:$D,"&gt;"&amp;0)</f>
        <v>0</v>
      </c>
      <c r="Q77" s="157">
        <f>sumifs(Boss!$D:$D,Boss!$B:$B,$D77,Boss!$A:$A,"&gt;="&amp;Q$60,Boss!$A:$A,"&lt;="&amp;Q$61,Boss!$D:$D,"&lt;"&amp;0)+sumifs(VPA.Director!$D:$D,VPA.Director!$B:$B,$D77,VPA.Director!$A:$A,"&gt;="&amp;Q$60,VPA.Director!$A:$A,"&lt;="&amp;Q$61,VPA.Director!$D:$D,"&lt;"&amp;0)+sumifs(ADC.Director!$D:$D,ADC.Director!$B:$B,$D77,ADC.Director!$A:$A,"&gt;="&amp;Q$60,ADC.Director!$A:$A,"&lt;="&amp;Q$61,ADC.Director!$D:$D,"&lt;"&amp;0)+sumifs('000'!$D:$D,'000'!$B:$B,$D77,'000'!$A:$A,"&gt;="&amp;Q$60,'000'!$A:$A,"&lt;="&amp;Q$61,'000'!$D:$D,"&lt;"&amp;0)+sumifs('500'!$D:$D,'500'!$B:$B,$D77,'500'!$A:$A,"&gt;="&amp;Q$60,'500'!$A:$A,"&lt;="&amp;Q$61,'500'!$D:$D,"&lt;"&amp;0)+sumifs('300'!$D:$D,'300'!$B:$B,$D77,'300'!$A:$A,"&gt;="&amp;Q$60,'300'!$A:$A,"&lt;="&amp;Q$61,'300'!$D:$D,"&lt;"&amp;0)+sumifs('600.VPA'!$D:$D,'600.VPA'!$B:$B,$D77,'600.VPA'!$A:$A,"&gt;="&amp;Q$60,'600.VPA'!$A:$A,"&lt;="&amp;Q$61,'600.VPA'!$D:$D,"&lt;"&amp;0)</f>
        <v>0</v>
      </c>
      <c r="R77" s="158">
        <f>sumifs(Boss!$D:$D,Boss!$B:$B,$D77,Boss!$A:$A,"&gt;="&amp;R$60,Boss!$A:$A,"&lt;="&amp;R$61,Boss!$D:$D,"&gt;"&amp;0)+sumifs(VPA.Director!$D:$D,VPA.Director!$B:$B,$D77,VPA.Director!$A:$A,"&gt;="&amp;R$60,VPA.Director!$A:$A,"&lt;="&amp;R$61,VPA.Director!$D:$D,"&gt;"&amp;0)+sumifs(ADC.Director!$D:$D,ADC.Director!$B:$B,$D77,ADC.Director!$A:$A,"&gt;="&amp;R$60,ADC.Director!$A:$A,"&lt;="&amp;R$61,ADC.Director!$D:$D,"&gt;"&amp;0)+sumifs('000'!$D:$D,'000'!$B:$B,$D77,'000'!$A:$A,"&gt;="&amp;R$60,'000'!$A:$A,"&lt;="&amp;R$61,'000'!$D:$D,"&gt;"&amp;0)+sumifs('500'!$D:$D,'500'!$B:$B,$D77,'500'!$A:$A,"&gt;="&amp;R$60,'500'!$A:$A,"&lt;="&amp;R$60,'500'!$D:$D,"&gt;"&amp;0)+sumifs('300'!$D:$D,'300'!$B:$B,$D77,'300'!$A:$A,"&gt;="&amp;R$60,'300'!$A:$A,"&lt;="&amp;R$61,'300'!$D:$D,"&gt;"&amp;0)+sumifs('600.VPA'!$D:$D,'600.VPA'!$B:$B,$D77,'600.VPA'!$A:$A,"&gt;="&amp;R$60,'600.VPA'!$A:$A,"&lt;="&amp;R$61,'600.VPA'!$D:$D,"&gt;"&amp;0)</f>
        <v>0</v>
      </c>
      <c r="S77" s="157">
        <f>sumifs(Boss!$D:$D,Boss!$B:$B,$D77,Boss!$A:$A,"&gt;="&amp;S$60,Boss!$A:$A,"&lt;="&amp;S$61,Boss!$D:$D,"&lt;"&amp;0)+sumifs(VPA.Director!$D:$D,VPA.Director!$B:$B,$D77,VPA.Director!$A:$A,"&gt;="&amp;S$60,VPA.Director!$A:$A,"&lt;="&amp;S$61,VPA.Director!$D:$D,"&lt;"&amp;0)+sumifs(ADC.Director!$D:$D,ADC.Director!$B:$B,$D77,ADC.Director!$A:$A,"&gt;="&amp;S$60,ADC.Director!$A:$A,"&lt;="&amp;S$61,ADC.Director!$D:$D,"&lt;"&amp;0)+sumifs('000'!$D:$D,'000'!$B:$B,$D77,'000'!$A:$A,"&gt;="&amp;S$60,'000'!$A:$A,"&lt;="&amp;S$61,'000'!$D:$D,"&lt;"&amp;0)+sumifs('500'!$D:$D,'500'!$B:$B,$D77,'500'!$A:$A,"&gt;="&amp;S$60,'500'!$A:$A,"&lt;="&amp;S$61,'500'!$D:$D,"&lt;"&amp;0)+sumifs('300'!$D:$D,'300'!$B:$B,$D77,'300'!$A:$A,"&gt;="&amp;S$60,'300'!$A:$A,"&lt;="&amp;S$61,'300'!$D:$D,"&lt;"&amp;0)+sumifs('600.VPA'!$D:$D,'600.VPA'!$B:$B,$D77,'600.VPA'!$A:$A,"&gt;="&amp;S$60,'600.VPA'!$A:$A,"&lt;="&amp;S$61,'600.VPA'!$D:$D,"&lt;"&amp;0)</f>
        <v>0</v>
      </c>
      <c r="T77" s="158">
        <f>sumifs(Boss!$D:$D,Boss!$B:$B,$D77,Boss!$A:$A,"&gt;="&amp;T$60,Boss!$A:$A,"&lt;="&amp;T$61,Boss!$D:$D,"&gt;"&amp;0)+sumifs(VPA.Director!$D:$D,VPA.Director!$B:$B,$D77,VPA.Director!$A:$A,"&gt;="&amp;T$60,VPA.Director!$A:$A,"&lt;="&amp;T$61,VPA.Director!$D:$D,"&gt;"&amp;0)+sumifs(ADC.Director!$D:$D,ADC.Director!$B:$B,$D77,ADC.Director!$A:$A,"&gt;="&amp;T$60,ADC.Director!$A:$A,"&lt;="&amp;T$61,ADC.Director!$D:$D,"&gt;"&amp;0)+sumifs('000'!$D:$D,'000'!$B:$B,$D77,'000'!$A:$A,"&gt;="&amp;T$60,'000'!$A:$A,"&lt;="&amp;T$61,'000'!$D:$D,"&gt;"&amp;0)+sumifs('500'!$D:$D,'500'!$B:$B,$D77,'500'!$A:$A,"&gt;="&amp;T$60,'500'!$A:$A,"&lt;="&amp;T$60,'500'!$D:$D,"&gt;"&amp;0)+sumifs('300'!$D:$D,'300'!$B:$B,$D77,'300'!$A:$A,"&gt;="&amp;T$60,'300'!$A:$A,"&lt;="&amp;T$61,'300'!$D:$D,"&gt;"&amp;0)+sumifs('600.VPA'!$D:$D,'600.VPA'!$B:$B,$D77,'600.VPA'!$A:$A,"&gt;="&amp;T$60,'600.VPA'!$A:$A,"&lt;="&amp;T$61,'600.VPA'!$D:$D,"&gt;"&amp;0)</f>
        <v>0</v>
      </c>
      <c r="U77" s="153"/>
      <c r="V77" s="157">
        <f>sumifs(Boss!$D:$D,Boss!$B:$B,$D77,Boss!$A:$A,"&gt;="&amp;V$60,Boss!$A:$A,"&lt;="&amp;V$61,Boss!$D:$D,"&lt;"&amp;0)+sumifs(VPA.Director!$D:$D,VPA.Director!$B:$B,$D77,VPA.Director!$A:$A,"&gt;="&amp;V$60,VPA.Director!$A:$A,"&lt;="&amp;V$61,VPA.Director!$D:$D,"&lt;"&amp;0)+sumifs(ADC.Director!$D:$D,ADC.Director!$B:$B,$D77,ADC.Director!$A:$A,"&gt;="&amp;V$60,ADC.Director!$A:$A,"&lt;="&amp;V$61,ADC.Director!$D:$D,"&lt;"&amp;0)+sumifs('000'!$D:$D,'000'!$B:$B,$D77,'000'!$A:$A,"&gt;="&amp;V$60,'000'!$A:$A,"&lt;="&amp;V$61,'000'!$D:$D,"&lt;"&amp;0)+sumifs('500'!$D:$D,'500'!$B:$B,$D77,'500'!$A:$A,"&gt;="&amp;V$60,'500'!$A:$A,"&lt;="&amp;V$61,'500'!$D:$D,"&lt;"&amp;0)+sumifs('300'!$D:$D,'300'!$B:$B,$D77,'300'!$A:$A,"&gt;="&amp;V$60,'300'!$A:$A,"&lt;="&amp;V$61,'300'!$D:$D,"&lt;"&amp;0)+sumifs('600.VPA'!$D:$D,'600.VPA'!$B:$B,$D77,'600.VPA'!$A:$A,"&gt;="&amp;V$60,'600.VPA'!$A:$A,"&lt;="&amp;V$61,'600.VPA'!$D:$D,"&lt;"&amp;0)</f>
        <v>0</v>
      </c>
      <c r="W77" s="158">
        <f>sumifs(Boss!$D:$D,Boss!$B:$B,$D77,Boss!$A:$A,"&gt;="&amp;W$60,Boss!$A:$A,"&lt;="&amp;W$61,Boss!$D:$D,"&gt;"&amp;0)+sumifs(VPA.Director!$D:$D,VPA.Director!$B:$B,$D77,VPA.Director!$A:$A,"&gt;="&amp;W$60,VPA.Director!$A:$A,"&lt;="&amp;W$61,VPA.Director!$D:$D,"&gt;"&amp;0)+sumifs(ADC.Director!$D:$D,ADC.Director!$B:$B,$D77,ADC.Director!$A:$A,"&gt;="&amp;W$60,ADC.Director!$A:$A,"&lt;="&amp;W$61,ADC.Director!$D:$D,"&gt;"&amp;0)+sumifs('000'!$D:$D,'000'!$B:$B,$D77,'000'!$A:$A,"&gt;="&amp;W$60,'000'!$A:$A,"&lt;="&amp;W$61,'000'!$D:$D,"&gt;"&amp;0)+sumifs('500'!$D:$D,'500'!$B:$B,$D77,'500'!$A:$A,"&gt;="&amp;W$60,'500'!$A:$A,"&lt;="&amp;W$60,'500'!$D:$D,"&gt;"&amp;0)+sumifs('300'!$D:$D,'300'!$B:$B,$D77,'300'!$A:$A,"&gt;="&amp;W$60,'300'!$A:$A,"&lt;="&amp;W$61,'300'!$D:$D,"&gt;"&amp;0)+sumifs('600.VPA'!$D:$D,'600.VPA'!$B:$B,$D77,'600.VPA'!$A:$A,"&gt;="&amp;W$60,'600.VPA'!$A:$A,"&lt;="&amp;W$61,'600.VPA'!$D:$D,"&gt;"&amp;0)</f>
        <v>0</v>
      </c>
      <c r="X77" s="157">
        <f>sumifs(Boss!$D:$D,Boss!$B:$B,$D77,Boss!$A:$A,"&gt;="&amp;X$60,Boss!$A:$A,"&lt;="&amp;X$61,Boss!$D:$D,"&lt;"&amp;0)+sumifs(VPA.Director!$D:$D,VPA.Director!$B:$B,$D77,VPA.Director!$A:$A,"&gt;="&amp;X$60,VPA.Director!$A:$A,"&lt;="&amp;X$61,VPA.Director!$D:$D,"&lt;"&amp;0)+sumifs(ADC.Director!$D:$D,ADC.Director!$B:$B,$D77,ADC.Director!$A:$A,"&gt;="&amp;X$60,ADC.Director!$A:$A,"&lt;="&amp;X$61,ADC.Director!$D:$D,"&lt;"&amp;0)+sumifs('000'!$D:$D,'000'!$B:$B,$D77,'000'!$A:$A,"&gt;="&amp;X$60,'000'!$A:$A,"&lt;="&amp;X$61,'000'!$D:$D,"&lt;"&amp;0)+sumifs('500'!$D:$D,'500'!$B:$B,$D77,'500'!$A:$A,"&gt;="&amp;X$60,'500'!$A:$A,"&lt;="&amp;X$61,'500'!$D:$D,"&lt;"&amp;0)+sumifs('300'!$D:$D,'300'!$B:$B,$D77,'300'!$A:$A,"&gt;="&amp;X$60,'300'!$A:$A,"&lt;="&amp;X$61,'300'!$D:$D,"&lt;"&amp;0)+sumifs('600.VPA'!$D:$D,'600.VPA'!$B:$B,$D77,'600.VPA'!$A:$A,"&gt;="&amp;X$60,'600.VPA'!$A:$A,"&lt;="&amp;X$61,'600.VPA'!$D:$D,"&lt;"&amp;0)</f>
        <v>0</v>
      </c>
      <c r="Y77" s="158">
        <f>sumifs(Boss!$D:$D,Boss!$B:$B,$D77,Boss!$A:$A,"&gt;="&amp;Y$60,Boss!$A:$A,"&lt;="&amp;Y$61,Boss!$D:$D,"&gt;"&amp;0)+sumifs(VPA.Director!$D:$D,VPA.Director!$B:$B,$D77,VPA.Director!$A:$A,"&gt;="&amp;Y$60,VPA.Director!$A:$A,"&lt;="&amp;Y$61,VPA.Director!$D:$D,"&gt;"&amp;0)+sumifs(ADC.Director!$D:$D,ADC.Director!$B:$B,$D77,ADC.Director!$A:$A,"&gt;="&amp;Y$60,ADC.Director!$A:$A,"&lt;="&amp;Y$61,ADC.Director!$D:$D,"&gt;"&amp;0)+sumifs('000'!$D:$D,'000'!$B:$B,$D77,'000'!$A:$A,"&gt;="&amp;Y$60,'000'!$A:$A,"&lt;="&amp;Y$61,'000'!$D:$D,"&gt;"&amp;0)+sumifs('500'!$D:$D,'500'!$B:$B,$D77,'500'!$A:$A,"&gt;="&amp;Y$60,'500'!$A:$A,"&lt;="&amp;Y$60,'500'!$D:$D,"&gt;"&amp;0)+sumifs('300'!$D:$D,'300'!$B:$B,$D77,'300'!$A:$A,"&gt;="&amp;Y$60,'300'!$A:$A,"&lt;="&amp;Y$61,'300'!$D:$D,"&gt;"&amp;0)+sumifs('600.VPA'!$D:$D,'600.VPA'!$B:$B,$D77,'600.VPA'!$A:$A,"&gt;="&amp;Y$60,'600.VPA'!$A:$A,"&lt;="&amp;Y$61,'600.VPA'!$D:$D,"&gt;"&amp;0)</f>
        <v>0</v>
      </c>
      <c r="Z77" s="157">
        <f>sumifs(Boss!$D:$D,Boss!$B:$B,$D77,Boss!$A:$A,"&gt;="&amp;Z$60,Boss!$A:$A,"&lt;="&amp;Z$61,Boss!$D:$D,"&lt;"&amp;0)+sumifs(VPA.Director!$D:$D,VPA.Director!$B:$B,$D77,VPA.Director!$A:$A,"&gt;="&amp;Z$60,VPA.Director!$A:$A,"&lt;="&amp;Z$61,VPA.Director!$D:$D,"&lt;"&amp;0)+sumifs(ADC.Director!$D:$D,ADC.Director!$B:$B,$D77,ADC.Director!$A:$A,"&gt;="&amp;Z$60,ADC.Director!$A:$A,"&lt;="&amp;Z$61,ADC.Director!$D:$D,"&lt;"&amp;0)+sumifs('000'!$D:$D,'000'!$B:$B,$D77,'000'!$A:$A,"&gt;="&amp;Z$60,'000'!$A:$A,"&lt;="&amp;Z$61,'000'!$D:$D,"&lt;"&amp;0)+sumifs('500'!$D:$D,'500'!$B:$B,$D77,'500'!$A:$A,"&gt;="&amp;Z$60,'500'!$A:$A,"&lt;="&amp;Z$61,'500'!$D:$D,"&lt;"&amp;0)+sumifs('300'!$D:$D,'300'!$B:$B,$D77,'300'!$A:$A,"&gt;="&amp;Z$60,'300'!$A:$A,"&lt;="&amp;Z$61,'300'!$D:$D,"&lt;"&amp;0)+sumifs('600.VPA'!$D:$D,'600.VPA'!$B:$B,$D77,'600.VPA'!$A:$A,"&gt;="&amp;Z$60,'600.VPA'!$A:$A,"&lt;="&amp;Z$61,'600.VPA'!$D:$D,"&lt;"&amp;0)</f>
        <v>0</v>
      </c>
      <c r="AA77" s="158">
        <f>sumifs(Boss!$D:$D,Boss!$B:$B,$D77,Boss!$A:$A,"&gt;="&amp;AA$60,Boss!$A:$A,"&lt;="&amp;AA$61,Boss!$D:$D,"&gt;"&amp;0)+sumifs(VPA.Director!$D:$D,VPA.Director!$B:$B,$D77,VPA.Director!$A:$A,"&gt;="&amp;AA$60,VPA.Director!$A:$A,"&lt;="&amp;AA$61,VPA.Director!$D:$D,"&gt;"&amp;0)+sumifs(ADC.Director!$D:$D,ADC.Director!$B:$B,$D77,ADC.Director!$A:$A,"&gt;="&amp;AA$60,ADC.Director!$A:$A,"&lt;="&amp;AA$61,ADC.Director!$D:$D,"&gt;"&amp;0)+sumifs('000'!$D:$D,'000'!$B:$B,$D77,'000'!$A:$A,"&gt;="&amp;AA$60,'000'!$A:$A,"&lt;="&amp;AA$61,'000'!$D:$D,"&gt;"&amp;0)+sumifs('500'!$D:$D,'500'!$B:$B,$D77,'500'!$A:$A,"&gt;="&amp;AA$60,'500'!$A:$A,"&lt;="&amp;AA$60,'500'!$D:$D,"&gt;"&amp;0)+sumifs('300'!$D:$D,'300'!$B:$B,$D77,'300'!$A:$A,"&gt;="&amp;AA$60,'300'!$A:$A,"&lt;="&amp;AA$61,'300'!$D:$D,"&gt;"&amp;0)+sumifs('600.VPA'!$D:$D,'600.VPA'!$B:$B,$D77,'600.VPA'!$A:$A,"&gt;="&amp;AA$60,'600.VPA'!$A:$A,"&lt;="&amp;AA$61,'600.VPA'!$D:$D,"&gt;"&amp;0)</f>
        <v>0</v>
      </c>
      <c r="AB77" s="157">
        <f>sumifs(Boss!$D:$D,Boss!$B:$B,$D77,Boss!$A:$A,"&gt;="&amp;AB$60,Boss!$A:$A,"&lt;="&amp;AB$61,Boss!$D:$D,"&lt;"&amp;0)+sumifs(VPA.Director!$D:$D,VPA.Director!$B:$B,$D77,VPA.Director!$A:$A,"&gt;="&amp;AB$60,VPA.Director!$A:$A,"&lt;="&amp;AB$61,VPA.Director!$D:$D,"&lt;"&amp;0)+sumifs(ADC.Director!$D:$D,ADC.Director!$B:$B,$D77,ADC.Director!$A:$A,"&gt;="&amp;AB$60,ADC.Director!$A:$A,"&lt;="&amp;AB$61,ADC.Director!$D:$D,"&lt;"&amp;0)+sumifs('000'!$D:$D,'000'!$B:$B,$D77,'000'!$A:$A,"&gt;="&amp;AB$60,'000'!$A:$A,"&lt;="&amp;AB$61,'000'!$D:$D,"&lt;"&amp;0)+sumifs('500'!$D:$D,'500'!$B:$B,$D77,'500'!$A:$A,"&gt;="&amp;AB$60,'500'!$A:$A,"&lt;="&amp;AB$61,'500'!$D:$D,"&lt;"&amp;0)+sumifs('300'!$D:$D,'300'!$B:$B,$D77,'300'!$A:$A,"&gt;="&amp;AB$60,'300'!$A:$A,"&lt;="&amp;AB$61,'300'!$D:$D,"&lt;"&amp;0)+sumifs('600.VPA'!$D:$D,'600.VPA'!$B:$B,$D77,'600.VPA'!$A:$A,"&gt;="&amp;AB$60,'600.VPA'!$A:$A,"&lt;="&amp;AB$61,'600.VPA'!$D:$D,"&lt;"&amp;0)</f>
        <v>0</v>
      </c>
      <c r="AC77" s="158">
        <f>sumifs(Boss!$D:$D,Boss!$B:$B,$D77,Boss!$A:$A,"&gt;="&amp;AC$60,Boss!$A:$A,"&lt;="&amp;AC$61,Boss!$D:$D,"&gt;"&amp;0)+sumifs(VPA.Director!$D:$D,VPA.Director!$B:$B,$D77,VPA.Director!$A:$A,"&gt;="&amp;AC$60,VPA.Director!$A:$A,"&lt;="&amp;AC$61,VPA.Director!$D:$D,"&gt;"&amp;0)+sumifs(ADC.Director!$D:$D,ADC.Director!$B:$B,$D77,ADC.Director!$A:$A,"&gt;="&amp;AC$60,ADC.Director!$A:$A,"&lt;="&amp;AC$61,ADC.Director!$D:$D,"&gt;"&amp;0)+sumifs('000'!$D:$D,'000'!$B:$B,$D77,'000'!$A:$A,"&gt;="&amp;AC$60,'000'!$A:$A,"&lt;="&amp;AC$61,'000'!$D:$D,"&gt;"&amp;0)+sumifs('500'!$D:$D,'500'!$B:$B,$D77,'500'!$A:$A,"&gt;="&amp;AC$60,'500'!$A:$A,"&lt;="&amp;AC$60,'500'!$D:$D,"&gt;"&amp;0)+sumifs('300'!$D:$D,'300'!$B:$B,$D77,'300'!$A:$A,"&gt;="&amp;AC$60,'300'!$A:$A,"&lt;="&amp;AC$61,'300'!$D:$D,"&gt;"&amp;0)+sumifs('600.VPA'!$D:$D,'600.VPA'!$B:$B,$D77,'600.VPA'!$A:$A,"&gt;="&amp;AC$60,'600.VPA'!$A:$A,"&lt;="&amp;AC$61,'600.VPA'!$D:$D,"&gt;"&amp;0)</f>
        <v>0</v>
      </c>
      <c r="AD77" s="157">
        <f>sumifs(Boss!$D:$D,Boss!$B:$B,$D77,Boss!$A:$A,"&gt;="&amp;AD$60,Boss!$A:$A,"&lt;="&amp;AD$61,Boss!$D:$D,"&lt;"&amp;0)+sumifs(VPA.Director!$D:$D,VPA.Director!$B:$B,$D77,VPA.Director!$A:$A,"&gt;="&amp;AD$60,VPA.Director!$A:$A,"&lt;="&amp;AD$61,VPA.Director!$D:$D,"&lt;"&amp;0)+sumifs(ADC.Director!$D:$D,ADC.Director!$B:$B,$D77,ADC.Director!$A:$A,"&gt;="&amp;AD$60,ADC.Director!$A:$A,"&lt;="&amp;AD$61,ADC.Director!$D:$D,"&lt;"&amp;0)+sumifs('000'!$D:$D,'000'!$B:$B,$D77,'000'!$A:$A,"&gt;="&amp;AD$60,'000'!$A:$A,"&lt;="&amp;AD$61,'000'!$D:$D,"&lt;"&amp;0)+sumifs('500'!$D:$D,'500'!$B:$B,$D77,'500'!$A:$A,"&gt;="&amp;AD$60,'500'!$A:$A,"&lt;="&amp;AD$61,'500'!$D:$D,"&lt;"&amp;0)+sumifs('300'!$D:$D,'300'!$B:$B,$D77,'300'!$A:$A,"&gt;="&amp;AD$60,'300'!$A:$A,"&lt;="&amp;AD$61,'300'!$D:$D,"&lt;"&amp;0)+sumifs('600.VPA'!$D:$D,'600.VPA'!$B:$B,$D77,'600.VPA'!$A:$A,"&gt;="&amp;AD$60,'600.VPA'!$A:$A,"&lt;="&amp;AD$61,'600.VPA'!$D:$D,"&lt;"&amp;0)</f>
        <v>0</v>
      </c>
      <c r="AE77" s="158">
        <f>sumifs(Boss!$D:$D,Boss!$B:$B,$D77,Boss!$A:$A,"&gt;="&amp;AE$60,Boss!$A:$A,"&lt;="&amp;AE$61,Boss!$D:$D,"&gt;"&amp;0)+sumifs(VPA.Director!$D:$D,VPA.Director!$B:$B,$D77,VPA.Director!$A:$A,"&gt;="&amp;AE$60,VPA.Director!$A:$A,"&lt;="&amp;AE$61,VPA.Director!$D:$D,"&gt;"&amp;0)+sumifs(ADC.Director!$D:$D,ADC.Director!$B:$B,$D77,ADC.Director!$A:$A,"&gt;="&amp;AE$60,ADC.Director!$A:$A,"&lt;="&amp;AE$61,ADC.Director!$D:$D,"&gt;"&amp;0)+sumifs('000'!$D:$D,'000'!$B:$B,$D77,'000'!$A:$A,"&gt;="&amp;AE$60,'000'!$A:$A,"&lt;="&amp;AE$61,'000'!$D:$D,"&gt;"&amp;0)+sumifs('500'!$D:$D,'500'!$B:$B,$D77,'500'!$A:$A,"&gt;="&amp;AE$60,'500'!$A:$A,"&lt;="&amp;AE$60,'500'!$D:$D,"&gt;"&amp;0)+sumifs('300'!$D:$D,'300'!$B:$B,$D77,'300'!$A:$A,"&gt;="&amp;AE$60,'300'!$A:$A,"&lt;="&amp;AE$61,'300'!$D:$D,"&gt;"&amp;0)+sumifs('600.VPA'!$D:$D,'600.VPA'!$B:$B,$D77,'600.VPA'!$A:$A,"&gt;="&amp;AE$60,'600.VPA'!$A:$A,"&lt;="&amp;AE$61,'600.VPA'!$D:$D,"&gt;"&amp;0)</f>
        <v>0</v>
      </c>
      <c r="AF77" s="157">
        <f>sumifs(Boss!$D:$D,Boss!$B:$B,$D77,Boss!$A:$A,"&gt;="&amp;AF$60,Boss!$A:$A,"&lt;="&amp;AF$61,Boss!$D:$D,"&lt;"&amp;0)+sumifs(VPA.Director!$D:$D,VPA.Director!$B:$B,$D77,VPA.Director!$A:$A,"&gt;="&amp;AF$60,VPA.Director!$A:$A,"&lt;="&amp;AF$61,VPA.Director!$D:$D,"&lt;"&amp;0)+sumifs(ADC.Director!$D:$D,ADC.Director!$B:$B,$D77,ADC.Director!$A:$A,"&gt;="&amp;AF$60,ADC.Director!$A:$A,"&lt;="&amp;AF$61,ADC.Director!$D:$D,"&lt;"&amp;0)+sumifs('000'!$D:$D,'000'!$B:$B,$D77,'000'!$A:$A,"&gt;="&amp;AF$60,'000'!$A:$A,"&lt;="&amp;AF$61,'000'!$D:$D,"&lt;"&amp;0)+sumifs('500'!$D:$D,'500'!$B:$B,$D77,'500'!$A:$A,"&gt;="&amp;AF$60,'500'!$A:$A,"&lt;="&amp;AF$61,'500'!$D:$D,"&lt;"&amp;0)+sumifs('300'!$D:$D,'300'!$B:$B,$D77,'300'!$A:$A,"&gt;="&amp;AF$60,'300'!$A:$A,"&lt;="&amp;AF$61,'300'!$D:$D,"&lt;"&amp;0)+sumifs('600.VPA'!$D:$D,'600.VPA'!$B:$B,$D77,'600.VPA'!$A:$A,"&gt;="&amp;AF$60,'600.VPA'!$A:$A,"&lt;="&amp;AF$61,'600.VPA'!$D:$D,"&lt;"&amp;0)</f>
        <v>0</v>
      </c>
      <c r="AG77" s="158">
        <f>sumifs(Boss!$D:$D,Boss!$B:$B,$D77,Boss!$A:$A,"&gt;="&amp;AG$60,Boss!$A:$A,"&lt;="&amp;AG$61,Boss!$D:$D,"&gt;"&amp;0)+sumifs(VPA.Director!$D:$D,VPA.Director!$B:$B,$D77,VPA.Director!$A:$A,"&gt;="&amp;AG$60,VPA.Director!$A:$A,"&lt;="&amp;AG$61,VPA.Director!$D:$D,"&gt;"&amp;0)+sumifs(ADC.Director!$D:$D,ADC.Director!$B:$B,$D77,ADC.Director!$A:$A,"&gt;="&amp;AG$60,ADC.Director!$A:$A,"&lt;="&amp;AG$61,ADC.Director!$D:$D,"&gt;"&amp;0)+sumifs('000'!$D:$D,'000'!$B:$B,$D77,'000'!$A:$A,"&gt;="&amp;AG$60,'000'!$A:$A,"&lt;="&amp;AG$61,'000'!$D:$D,"&gt;"&amp;0)+sumifs('500'!$D:$D,'500'!$B:$B,$D77,'500'!$A:$A,"&gt;="&amp;AG$60,'500'!$A:$A,"&lt;="&amp;AG$60,'500'!$D:$D,"&gt;"&amp;0)+sumifs('300'!$D:$D,'300'!$B:$B,$D77,'300'!$A:$A,"&gt;="&amp;AG$60,'300'!$A:$A,"&lt;="&amp;AG$61,'300'!$D:$D,"&gt;"&amp;0)+sumifs('600.VPA'!$D:$D,'600.VPA'!$B:$B,$D77,'600.VPA'!$A:$A,"&gt;="&amp;AG$60,'600.VPA'!$A:$A,"&lt;="&amp;AG$61,'600.VPA'!$D:$D,"&gt;"&amp;0)</f>
        <v>0</v>
      </c>
      <c r="AH77" s="159">
        <f t="shared" ref="AH77:AI77" si="16">sum(I77,K77,M77,O77,Q77,S77,V77,X77,Z77,AB77,AD77,AF77)</f>
        <v>0</v>
      </c>
      <c r="AI77" s="160">
        <f t="shared" si="16"/>
        <v>0</v>
      </c>
      <c r="AJ77" s="159">
        <f t="shared" si="4"/>
        <v>0</v>
      </c>
      <c r="AK77" s="89"/>
      <c r="AL77" s="89"/>
      <c r="AM77" s="89"/>
      <c r="AN77" s="89"/>
      <c r="AO77" s="89"/>
      <c r="AP77" s="89"/>
      <c r="AQ77" s="89"/>
      <c r="AR77" s="89"/>
      <c r="AS77" s="89"/>
      <c r="AT77" s="89"/>
      <c r="AU77" s="89"/>
    </row>
    <row r="78">
      <c r="A78" s="86"/>
      <c r="B78" s="153"/>
      <c r="D78" s="155" t="s">
        <v>89</v>
      </c>
      <c r="E78" s="155" t="s">
        <v>90</v>
      </c>
      <c r="F78" s="155" t="s">
        <v>152</v>
      </c>
      <c r="G78" s="155" t="s">
        <v>92</v>
      </c>
      <c r="H78" s="155" t="s">
        <v>42</v>
      </c>
      <c r="I78" s="157">
        <f>sumifs(Boss!$D:$D,Boss!$B:$B,$D78,Boss!$A:$A,"&gt;="&amp;I$60,Boss!$A:$A,"&lt;="&amp;I$61,Boss!$D:$D,"&lt;"&amp;0)+sumifs(VPA.Director!$D:$D,VPA.Director!$B:$B,$D78,VPA.Director!$A:$A,"&gt;="&amp;I$60,VPA.Director!$A:$A,"&lt;="&amp;I$61,VPA.Director!$D:$D,"&lt;"&amp;0)+sumifs(ADC.Director!$D:$D,ADC.Director!$B:$B,$D78,ADC.Director!$A:$A,"&gt;="&amp;I$60,ADC.Director!$A:$A,"&lt;="&amp;I$61,ADC.Director!$D:$D,"&lt;"&amp;0)+sumifs('000'!$D:$D,'000'!$B:$B,$D78,'000'!$A:$A,"&gt;="&amp;I$60,'000'!$A:$A,"&lt;="&amp;I$61,'000'!$D:$D,"&lt;"&amp;0)+sumifs('500'!$D:$D,'500'!$B:$B,$D78,'500'!$A:$A,"&gt;="&amp;I$60,'500'!$A:$A,"&lt;="&amp;I$61,'500'!$D:$D,"&lt;"&amp;0)+sumifs('300'!$D:$D,'300'!$B:$B,$D78,'300'!$A:$A,"&gt;="&amp;I$60,'300'!$A:$A,"&lt;="&amp;I$61,'300'!$D:$D,"&lt;"&amp;0)+sumifs('600.VPA'!$D:$D,'600.VPA'!$B:$B,$D78,'600.VPA'!$A:$A,"&gt;="&amp;I$60,'600.VPA'!$A:$A,"&lt;="&amp;I$61,'600.VPA'!$D:$D,"&lt;"&amp;0)</f>
        <v>0</v>
      </c>
      <c r="J78" s="158">
        <f>sumifs(Boss!$D:$D,Boss!$B:$B,$D78,Boss!$A:$A,"&gt;="&amp;J$60,Boss!$A:$A,"&lt;="&amp;J$61,Boss!$D:$D,"&gt;"&amp;0)+sumifs(VPA.Director!$D:$D,VPA.Director!$B:$B,$D78,VPA.Director!$A:$A,"&gt;="&amp;J$60,VPA.Director!$A:$A,"&lt;="&amp;J$61,VPA.Director!$D:$D,"&gt;"&amp;0)+sumifs(ADC.Director!$D:$D,ADC.Director!$B:$B,$D78,ADC.Director!$A:$A,"&gt;="&amp;J$60,ADC.Director!$A:$A,"&lt;="&amp;J$61,ADC.Director!$D:$D,"&gt;"&amp;0)+sumifs('000'!$D:$D,'000'!$B:$B,$D78,'000'!$A:$A,"&gt;="&amp;J$60,'000'!$A:$A,"&lt;="&amp;J$61,'000'!$D:$D,"&gt;"&amp;0)+sumifs('500'!$D:$D,'500'!$B:$B,$D78,'500'!$A:$A,"&gt;="&amp;J$60,'500'!$A:$A,"&lt;="&amp;J$60,'500'!$D:$D,"&gt;"&amp;0)+sumifs('300'!$D:$D,'300'!$B:$B,$D78,'300'!$A:$A,"&gt;="&amp;J$60,'300'!$A:$A,"&lt;="&amp;J$61,'300'!$D:$D,"&gt;"&amp;0)+sumifs('600.VPA'!$D:$D,'600.VPA'!$B:$B,$D78,'600.VPA'!$A:$A,"&gt;="&amp;J$60,'600.VPA'!$A:$A,"&lt;="&amp;J$61,'600.VPA'!$D:$D,"&gt;"&amp;0)</f>
        <v>0</v>
      </c>
      <c r="K78" s="157">
        <f>sumifs(Boss!$D:$D,Boss!$B:$B,$D78,Boss!$A:$A,"&gt;="&amp;K$60,Boss!$A:$A,"&lt;="&amp;K$61,Boss!$D:$D,"&lt;"&amp;0)+sumifs(VPA.Director!$D:$D,VPA.Director!$B:$B,$D78,VPA.Director!$A:$A,"&gt;="&amp;K$60,VPA.Director!$A:$A,"&lt;="&amp;K$61,VPA.Director!$D:$D,"&lt;"&amp;0)+sumifs(ADC.Director!$D:$D,ADC.Director!$B:$B,$D78,ADC.Director!$A:$A,"&gt;="&amp;K$60,ADC.Director!$A:$A,"&lt;="&amp;K$61,ADC.Director!$D:$D,"&lt;"&amp;0)+sumifs('000'!$D:$D,'000'!$B:$B,$D78,'000'!$A:$A,"&gt;="&amp;K$60,'000'!$A:$A,"&lt;="&amp;K$61,'000'!$D:$D,"&lt;"&amp;0)+sumifs('500'!$D:$D,'500'!$B:$B,$D78,'500'!$A:$A,"&gt;="&amp;K$60,'500'!$A:$A,"&lt;="&amp;K$61,'500'!$D:$D,"&lt;"&amp;0)+sumifs('300'!$D:$D,'300'!$B:$B,$D78,'300'!$A:$A,"&gt;="&amp;K$60,'300'!$A:$A,"&lt;="&amp;K$61,'300'!$D:$D,"&lt;"&amp;0)+sumifs('600.VPA'!$D:$D,'600.VPA'!$B:$B,$D78,'600.VPA'!$A:$A,"&gt;="&amp;K$60,'600.VPA'!$A:$A,"&lt;="&amp;K$61,'600.VPA'!$D:$D,"&lt;"&amp;0)</f>
        <v>0</v>
      </c>
      <c r="L78" s="158">
        <f>sumifs(Boss!$D:$D,Boss!$B:$B,$D78,Boss!$A:$A,"&gt;="&amp;L$60,Boss!$A:$A,"&lt;="&amp;L$61,Boss!$D:$D,"&gt;"&amp;0)+sumifs(VPA.Director!$D:$D,VPA.Director!$B:$B,$D78,VPA.Director!$A:$A,"&gt;="&amp;L$60,VPA.Director!$A:$A,"&lt;="&amp;L$61,VPA.Director!$D:$D,"&gt;"&amp;0)+sumifs(ADC.Director!$D:$D,ADC.Director!$B:$B,$D78,ADC.Director!$A:$A,"&gt;="&amp;L$60,ADC.Director!$A:$A,"&lt;="&amp;L$61,ADC.Director!$D:$D,"&gt;"&amp;0)+sumifs('000'!$D:$D,'000'!$B:$B,$D78,'000'!$A:$A,"&gt;="&amp;L$60,'000'!$A:$A,"&lt;="&amp;L$61,'000'!$D:$D,"&gt;"&amp;0)+sumifs('500'!$D:$D,'500'!$B:$B,$D78,'500'!$A:$A,"&gt;="&amp;L$60,'500'!$A:$A,"&lt;="&amp;L$60,'500'!$D:$D,"&gt;"&amp;0)+sumifs('300'!$D:$D,'300'!$B:$B,$D78,'300'!$A:$A,"&gt;="&amp;L$60,'300'!$A:$A,"&lt;="&amp;L$61,'300'!$D:$D,"&gt;"&amp;0)+sumifs('600.VPA'!$D:$D,'600.VPA'!$B:$B,$D78,'600.VPA'!$A:$A,"&gt;="&amp;L$60,'600.VPA'!$A:$A,"&lt;="&amp;L$61,'600.VPA'!$D:$D,"&gt;"&amp;0)</f>
        <v>0</v>
      </c>
      <c r="M78" s="157">
        <f>sumifs(Boss!$D:$D,Boss!$B:$B,$D78,Boss!$A:$A,"&gt;="&amp;M$60,Boss!$A:$A,"&lt;="&amp;M$61,Boss!$D:$D,"&lt;"&amp;0)+sumifs(VPA.Director!$D:$D,VPA.Director!$B:$B,$D78,VPA.Director!$A:$A,"&gt;="&amp;M$60,VPA.Director!$A:$A,"&lt;="&amp;M$61,VPA.Director!$D:$D,"&lt;"&amp;0)+sumifs(ADC.Director!$D:$D,ADC.Director!$B:$B,$D78,ADC.Director!$A:$A,"&gt;="&amp;M$60,ADC.Director!$A:$A,"&lt;="&amp;M$61,ADC.Director!$D:$D,"&lt;"&amp;0)+sumifs('000'!$D:$D,'000'!$B:$B,$D78,'000'!$A:$A,"&gt;="&amp;M$60,'000'!$A:$A,"&lt;="&amp;M$61,'000'!$D:$D,"&lt;"&amp;0)+sumifs('500'!$D:$D,'500'!$B:$B,$D78,'500'!$A:$A,"&gt;="&amp;M$60,'500'!$A:$A,"&lt;="&amp;M$61,'500'!$D:$D,"&lt;"&amp;0)+sumifs('300'!$D:$D,'300'!$B:$B,$D78,'300'!$A:$A,"&gt;="&amp;M$60,'300'!$A:$A,"&lt;="&amp;M$61,'300'!$D:$D,"&lt;"&amp;0)+sumifs('600.VPA'!$D:$D,'600.VPA'!$B:$B,$D78,'600.VPA'!$A:$A,"&gt;="&amp;M$60,'600.VPA'!$A:$A,"&lt;="&amp;M$61,'600.VPA'!$D:$D,"&lt;"&amp;0)</f>
        <v>0</v>
      </c>
      <c r="N78" s="158">
        <f>sumifs(Boss!$D:$D,Boss!$B:$B,$D78,Boss!$A:$A,"&gt;="&amp;N$60,Boss!$A:$A,"&lt;="&amp;N$61,Boss!$D:$D,"&gt;"&amp;0)+sumifs(VPA.Director!$D:$D,VPA.Director!$B:$B,$D78,VPA.Director!$A:$A,"&gt;="&amp;N$60,VPA.Director!$A:$A,"&lt;="&amp;N$61,VPA.Director!$D:$D,"&gt;"&amp;0)+sumifs(ADC.Director!$D:$D,ADC.Director!$B:$B,$D78,ADC.Director!$A:$A,"&gt;="&amp;N$60,ADC.Director!$A:$A,"&lt;="&amp;N$61,ADC.Director!$D:$D,"&gt;"&amp;0)+sumifs('000'!$D:$D,'000'!$B:$B,$D78,'000'!$A:$A,"&gt;="&amp;N$60,'000'!$A:$A,"&lt;="&amp;N$61,'000'!$D:$D,"&gt;"&amp;0)+sumifs('500'!$D:$D,'500'!$B:$B,$D78,'500'!$A:$A,"&gt;="&amp;N$60,'500'!$A:$A,"&lt;="&amp;N$60,'500'!$D:$D,"&gt;"&amp;0)+sumifs('300'!$D:$D,'300'!$B:$B,$D78,'300'!$A:$A,"&gt;="&amp;N$60,'300'!$A:$A,"&lt;="&amp;N$61,'300'!$D:$D,"&gt;"&amp;0)+sumifs('600.VPA'!$D:$D,'600.VPA'!$B:$B,$D78,'600.VPA'!$A:$A,"&gt;="&amp;N$60,'600.VPA'!$A:$A,"&lt;="&amp;N$61,'600.VPA'!$D:$D,"&gt;"&amp;0)</f>
        <v>0</v>
      </c>
      <c r="O78" s="157">
        <f>sumifs(Boss!$D:$D,Boss!$B:$B,$D78,Boss!$A:$A,"&gt;="&amp;O$60,Boss!$A:$A,"&lt;="&amp;O$61,Boss!$D:$D,"&lt;"&amp;0)+sumifs(VPA.Director!$D:$D,VPA.Director!$B:$B,$D78,VPA.Director!$A:$A,"&gt;="&amp;O$60,VPA.Director!$A:$A,"&lt;="&amp;O$61,VPA.Director!$D:$D,"&lt;"&amp;0)+sumifs(ADC.Director!$D:$D,ADC.Director!$B:$B,$D78,ADC.Director!$A:$A,"&gt;="&amp;O$60,ADC.Director!$A:$A,"&lt;="&amp;O$61,ADC.Director!$D:$D,"&lt;"&amp;0)+sumifs('000'!$D:$D,'000'!$B:$B,$D78,'000'!$A:$A,"&gt;="&amp;O$60,'000'!$A:$A,"&lt;="&amp;O$61,'000'!$D:$D,"&lt;"&amp;0)+sumifs('500'!$D:$D,'500'!$B:$B,$D78,'500'!$A:$A,"&gt;="&amp;O$60,'500'!$A:$A,"&lt;="&amp;O$61,'500'!$D:$D,"&lt;"&amp;0)+sumifs('300'!$D:$D,'300'!$B:$B,$D78,'300'!$A:$A,"&gt;="&amp;O$60,'300'!$A:$A,"&lt;="&amp;O$61,'300'!$D:$D,"&lt;"&amp;0)+sumifs('600.VPA'!$D:$D,'600.VPA'!$B:$B,$D78,'600.VPA'!$A:$A,"&gt;="&amp;O$60,'600.VPA'!$A:$A,"&lt;="&amp;O$61,'600.VPA'!$D:$D,"&lt;"&amp;0)</f>
        <v>0</v>
      </c>
      <c r="P78" s="158">
        <f>sumifs(Boss!$D:$D,Boss!$B:$B,$D78,Boss!$A:$A,"&gt;="&amp;P$60,Boss!$A:$A,"&lt;="&amp;P$61,Boss!$D:$D,"&gt;"&amp;0)+sumifs(VPA.Director!$D:$D,VPA.Director!$B:$B,$D78,VPA.Director!$A:$A,"&gt;="&amp;P$60,VPA.Director!$A:$A,"&lt;="&amp;P$61,VPA.Director!$D:$D,"&gt;"&amp;0)+sumifs(ADC.Director!$D:$D,ADC.Director!$B:$B,$D78,ADC.Director!$A:$A,"&gt;="&amp;P$60,ADC.Director!$A:$A,"&lt;="&amp;P$61,ADC.Director!$D:$D,"&gt;"&amp;0)+sumifs('000'!$D:$D,'000'!$B:$B,$D78,'000'!$A:$A,"&gt;="&amp;P$60,'000'!$A:$A,"&lt;="&amp;P$61,'000'!$D:$D,"&gt;"&amp;0)+sumifs('500'!$D:$D,'500'!$B:$B,$D78,'500'!$A:$A,"&gt;="&amp;P$60,'500'!$A:$A,"&lt;="&amp;P$60,'500'!$D:$D,"&gt;"&amp;0)+sumifs('300'!$D:$D,'300'!$B:$B,$D78,'300'!$A:$A,"&gt;="&amp;P$60,'300'!$A:$A,"&lt;="&amp;P$61,'300'!$D:$D,"&gt;"&amp;0)+sumifs('600.VPA'!$D:$D,'600.VPA'!$B:$B,$D78,'600.VPA'!$A:$A,"&gt;="&amp;P$60,'600.VPA'!$A:$A,"&lt;="&amp;P$61,'600.VPA'!$D:$D,"&gt;"&amp;0)</f>
        <v>0</v>
      </c>
      <c r="Q78" s="157">
        <f>sumifs(Boss!$D:$D,Boss!$B:$B,$D78,Boss!$A:$A,"&gt;="&amp;Q$60,Boss!$A:$A,"&lt;="&amp;Q$61,Boss!$D:$D,"&lt;"&amp;0)+sumifs(VPA.Director!$D:$D,VPA.Director!$B:$B,$D78,VPA.Director!$A:$A,"&gt;="&amp;Q$60,VPA.Director!$A:$A,"&lt;="&amp;Q$61,VPA.Director!$D:$D,"&lt;"&amp;0)+sumifs(ADC.Director!$D:$D,ADC.Director!$B:$B,$D78,ADC.Director!$A:$A,"&gt;="&amp;Q$60,ADC.Director!$A:$A,"&lt;="&amp;Q$61,ADC.Director!$D:$D,"&lt;"&amp;0)+sumifs('000'!$D:$D,'000'!$B:$B,$D78,'000'!$A:$A,"&gt;="&amp;Q$60,'000'!$A:$A,"&lt;="&amp;Q$61,'000'!$D:$D,"&lt;"&amp;0)+sumifs('500'!$D:$D,'500'!$B:$B,$D78,'500'!$A:$A,"&gt;="&amp;Q$60,'500'!$A:$A,"&lt;="&amp;Q$61,'500'!$D:$D,"&lt;"&amp;0)+sumifs('300'!$D:$D,'300'!$B:$B,$D78,'300'!$A:$A,"&gt;="&amp;Q$60,'300'!$A:$A,"&lt;="&amp;Q$61,'300'!$D:$D,"&lt;"&amp;0)+sumifs('600.VPA'!$D:$D,'600.VPA'!$B:$B,$D78,'600.VPA'!$A:$A,"&gt;="&amp;Q$60,'600.VPA'!$A:$A,"&lt;="&amp;Q$61,'600.VPA'!$D:$D,"&lt;"&amp;0)</f>
        <v>0</v>
      </c>
      <c r="R78" s="158">
        <f>sumifs(Boss!$D:$D,Boss!$B:$B,$D78,Boss!$A:$A,"&gt;="&amp;R$60,Boss!$A:$A,"&lt;="&amp;R$61,Boss!$D:$D,"&gt;"&amp;0)+sumifs(VPA.Director!$D:$D,VPA.Director!$B:$B,$D78,VPA.Director!$A:$A,"&gt;="&amp;R$60,VPA.Director!$A:$A,"&lt;="&amp;R$61,VPA.Director!$D:$D,"&gt;"&amp;0)+sumifs(ADC.Director!$D:$D,ADC.Director!$B:$B,$D78,ADC.Director!$A:$A,"&gt;="&amp;R$60,ADC.Director!$A:$A,"&lt;="&amp;R$61,ADC.Director!$D:$D,"&gt;"&amp;0)+sumifs('000'!$D:$D,'000'!$B:$B,$D78,'000'!$A:$A,"&gt;="&amp;R$60,'000'!$A:$A,"&lt;="&amp;R$61,'000'!$D:$D,"&gt;"&amp;0)+sumifs('500'!$D:$D,'500'!$B:$B,$D78,'500'!$A:$A,"&gt;="&amp;R$60,'500'!$A:$A,"&lt;="&amp;R$60,'500'!$D:$D,"&gt;"&amp;0)+sumifs('300'!$D:$D,'300'!$B:$B,$D78,'300'!$A:$A,"&gt;="&amp;R$60,'300'!$A:$A,"&lt;="&amp;R$61,'300'!$D:$D,"&gt;"&amp;0)+sumifs('600.VPA'!$D:$D,'600.VPA'!$B:$B,$D78,'600.VPA'!$A:$A,"&gt;="&amp;R$60,'600.VPA'!$A:$A,"&lt;="&amp;R$61,'600.VPA'!$D:$D,"&gt;"&amp;0)</f>
        <v>0</v>
      </c>
      <c r="S78" s="157">
        <f>sumifs(Boss!$D:$D,Boss!$B:$B,$D78,Boss!$A:$A,"&gt;="&amp;S$60,Boss!$A:$A,"&lt;="&amp;S$61,Boss!$D:$D,"&lt;"&amp;0)+sumifs(VPA.Director!$D:$D,VPA.Director!$B:$B,$D78,VPA.Director!$A:$A,"&gt;="&amp;S$60,VPA.Director!$A:$A,"&lt;="&amp;S$61,VPA.Director!$D:$D,"&lt;"&amp;0)+sumifs(ADC.Director!$D:$D,ADC.Director!$B:$B,$D78,ADC.Director!$A:$A,"&gt;="&amp;S$60,ADC.Director!$A:$A,"&lt;="&amp;S$61,ADC.Director!$D:$D,"&lt;"&amp;0)+sumifs('000'!$D:$D,'000'!$B:$B,$D78,'000'!$A:$A,"&gt;="&amp;S$60,'000'!$A:$A,"&lt;="&amp;S$61,'000'!$D:$D,"&lt;"&amp;0)+sumifs('500'!$D:$D,'500'!$B:$B,$D78,'500'!$A:$A,"&gt;="&amp;S$60,'500'!$A:$A,"&lt;="&amp;S$61,'500'!$D:$D,"&lt;"&amp;0)+sumifs('300'!$D:$D,'300'!$B:$B,$D78,'300'!$A:$A,"&gt;="&amp;S$60,'300'!$A:$A,"&lt;="&amp;S$61,'300'!$D:$D,"&lt;"&amp;0)+sumifs('600.VPA'!$D:$D,'600.VPA'!$B:$B,$D78,'600.VPA'!$A:$A,"&gt;="&amp;S$60,'600.VPA'!$A:$A,"&lt;="&amp;S$61,'600.VPA'!$D:$D,"&lt;"&amp;0)</f>
        <v>0</v>
      </c>
      <c r="T78" s="158">
        <f>sumifs(Boss!$D:$D,Boss!$B:$B,$D78,Boss!$A:$A,"&gt;="&amp;T$60,Boss!$A:$A,"&lt;="&amp;T$61,Boss!$D:$D,"&gt;"&amp;0)+sumifs(VPA.Director!$D:$D,VPA.Director!$B:$B,$D78,VPA.Director!$A:$A,"&gt;="&amp;T$60,VPA.Director!$A:$A,"&lt;="&amp;T$61,VPA.Director!$D:$D,"&gt;"&amp;0)+sumifs(ADC.Director!$D:$D,ADC.Director!$B:$B,$D78,ADC.Director!$A:$A,"&gt;="&amp;T$60,ADC.Director!$A:$A,"&lt;="&amp;T$61,ADC.Director!$D:$D,"&gt;"&amp;0)+sumifs('000'!$D:$D,'000'!$B:$B,$D78,'000'!$A:$A,"&gt;="&amp;T$60,'000'!$A:$A,"&lt;="&amp;T$61,'000'!$D:$D,"&gt;"&amp;0)+sumifs('500'!$D:$D,'500'!$B:$B,$D78,'500'!$A:$A,"&gt;="&amp;T$60,'500'!$A:$A,"&lt;="&amp;T$60,'500'!$D:$D,"&gt;"&amp;0)+sumifs('300'!$D:$D,'300'!$B:$B,$D78,'300'!$A:$A,"&gt;="&amp;T$60,'300'!$A:$A,"&lt;="&amp;T$61,'300'!$D:$D,"&gt;"&amp;0)+sumifs('600.VPA'!$D:$D,'600.VPA'!$B:$B,$D78,'600.VPA'!$A:$A,"&gt;="&amp;T$60,'600.VPA'!$A:$A,"&lt;="&amp;T$61,'600.VPA'!$D:$D,"&gt;"&amp;0)</f>
        <v>0</v>
      </c>
      <c r="U78" s="153"/>
      <c r="V78" s="157">
        <f>sumifs(Boss!$D:$D,Boss!$B:$B,$D78,Boss!$A:$A,"&gt;="&amp;V$60,Boss!$A:$A,"&lt;="&amp;V$61,Boss!$D:$D,"&lt;"&amp;0)+sumifs(VPA.Director!$D:$D,VPA.Director!$B:$B,$D78,VPA.Director!$A:$A,"&gt;="&amp;V$60,VPA.Director!$A:$A,"&lt;="&amp;V$61,VPA.Director!$D:$D,"&lt;"&amp;0)+sumifs(ADC.Director!$D:$D,ADC.Director!$B:$B,$D78,ADC.Director!$A:$A,"&gt;="&amp;V$60,ADC.Director!$A:$A,"&lt;="&amp;V$61,ADC.Director!$D:$D,"&lt;"&amp;0)+sumifs('000'!$D:$D,'000'!$B:$B,$D78,'000'!$A:$A,"&gt;="&amp;V$60,'000'!$A:$A,"&lt;="&amp;V$61,'000'!$D:$D,"&lt;"&amp;0)+sumifs('500'!$D:$D,'500'!$B:$B,$D78,'500'!$A:$A,"&gt;="&amp;V$60,'500'!$A:$A,"&lt;="&amp;V$61,'500'!$D:$D,"&lt;"&amp;0)+sumifs('300'!$D:$D,'300'!$B:$B,$D78,'300'!$A:$A,"&gt;="&amp;V$60,'300'!$A:$A,"&lt;="&amp;V$61,'300'!$D:$D,"&lt;"&amp;0)+sumifs('600.VPA'!$D:$D,'600.VPA'!$B:$B,$D78,'600.VPA'!$A:$A,"&gt;="&amp;V$60,'600.VPA'!$A:$A,"&lt;="&amp;V$61,'600.VPA'!$D:$D,"&lt;"&amp;0)</f>
        <v>0</v>
      </c>
      <c r="W78" s="158">
        <f>sumifs(Boss!$D:$D,Boss!$B:$B,$D78,Boss!$A:$A,"&gt;="&amp;W$60,Boss!$A:$A,"&lt;="&amp;W$61,Boss!$D:$D,"&gt;"&amp;0)+sumifs(VPA.Director!$D:$D,VPA.Director!$B:$B,$D78,VPA.Director!$A:$A,"&gt;="&amp;W$60,VPA.Director!$A:$A,"&lt;="&amp;W$61,VPA.Director!$D:$D,"&gt;"&amp;0)+sumifs(ADC.Director!$D:$D,ADC.Director!$B:$B,$D78,ADC.Director!$A:$A,"&gt;="&amp;W$60,ADC.Director!$A:$A,"&lt;="&amp;W$61,ADC.Director!$D:$D,"&gt;"&amp;0)+sumifs('000'!$D:$D,'000'!$B:$B,$D78,'000'!$A:$A,"&gt;="&amp;W$60,'000'!$A:$A,"&lt;="&amp;W$61,'000'!$D:$D,"&gt;"&amp;0)+sumifs('500'!$D:$D,'500'!$B:$B,$D78,'500'!$A:$A,"&gt;="&amp;W$60,'500'!$A:$A,"&lt;="&amp;W$60,'500'!$D:$D,"&gt;"&amp;0)+sumifs('300'!$D:$D,'300'!$B:$B,$D78,'300'!$A:$A,"&gt;="&amp;W$60,'300'!$A:$A,"&lt;="&amp;W$61,'300'!$D:$D,"&gt;"&amp;0)+sumifs('600.VPA'!$D:$D,'600.VPA'!$B:$B,$D78,'600.VPA'!$A:$A,"&gt;="&amp;W$60,'600.VPA'!$A:$A,"&lt;="&amp;W$61,'600.VPA'!$D:$D,"&gt;"&amp;0)</f>
        <v>0</v>
      </c>
      <c r="X78" s="157">
        <f>sumifs(Boss!$D:$D,Boss!$B:$B,$D78,Boss!$A:$A,"&gt;="&amp;X$60,Boss!$A:$A,"&lt;="&amp;X$61,Boss!$D:$D,"&lt;"&amp;0)+sumifs(VPA.Director!$D:$D,VPA.Director!$B:$B,$D78,VPA.Director!$A:$A,"&gt;="&amp;X$60,VPA.Director!$A:$A,"&lt;="&amp;X$61,VPA.Director!$D:$D,"&lt;"&amp;0)+sumifs(ADC.Director!$D:$D,ADC.Director!$B:$B,$D78,ADC.Director!$A:$A,"&gt;="&amp;X$60,ADC.Director!$A:$A,"&lt;="&amp;X$61,ADC.Director!$D:$D,"&lt;"&amp;0)+sumifs('000'!$D:$D,'000'!$B:$B,$D78,'000'!$A:$A,"&gt;="&amp;X$60,'000'!$A:$A,"&lt;="&amp;X$61,'000'!$D:$D,"&lt;"&amp;0)+sumifs('500'!$D:$D,'500'!$B:$B,$D78,'500'!$A:$A,"&gt;="&amp;X$60,'500'!$A:$A,"&lt;="&amp;X$61,'500'!$D:$D,"&lt;"&amp;0)+sumifs('300'!$D:$D,'300'!$B:$B,$D78,'300'!$A:$A,"&gt;="&amp;X$60,'300'!$A:$A,"&lt;="&amp;X$61,'300'!$D:$D,"&lt;"&amp;0)+sumifs('600.VPA'!$D:$D,'600.VPA'!$B:$B,$D78,'600.VPA'!$A:$A,"&gt;="&amp;X$60,'600.VPA'!$A:$A,"&lt;="&amp;X$61,'600.VPA'!$D:$D,"&lt;"&amp;0)</f>
        <v>0</v>
      </c>
      <c r="Y78" s="158">
        <f>sumifs(Boss!$D:$D,Boss!$B:$B,$D78,Boss!$A:$A,"&gt;="&amp;Y$60,Boss!$A:$A,"&lt;="&amp;Y$61,Boss!$D:$D,"&gt;"&amp;0)+sumifs(VPA.Director!$D:$D,VPA.Director!$B:$B,$D78,VPA.Director!$A:$A,"&gt;="&amp;Y$60,VPA.Director!$A:$A,"&lt;="&amp;Y$61,VPA.Director!$D:$D,"&gt;"&amp;0)+sumifs(ADC.Director!$D:$D,ADC.Director!$B:$B,$D78,ADC.Director!$A:$A,"&gt;="&amp;Y$60,ADC.Director!$A:$A,"&lt;="&amp;Y$61,ADC.Director!$D:$D,"&gt;"&amp;0)+sumifs('000'!$D:$D,'000'!$B:$B,$D78,'000'!$A:$A,"&gt;="&amp;Y$60,'000'!$A:$A,"&lt;="&amp;Y$61,'000'!$D:$D,"&gt;"&amp;0)+sumifs('500'!$D:$D,'500'!$B:$B,$D78,'500'!$A:$A,"&gt;="&amp;Y$60,'500'!$A:$A,"&lt;="&amp;Y$60,'500'!$D:$D,"&gt;"&amp;0)+sumifs('300'!$D:$D,'300'!$B:$B,$D78,'300'!$A:$A,"&gt;="&amp;Y$60,'300'!$A:$A,"&lt;="&amp;Y$61,'300'!$D:$D,"&gt;"&amp;0)+sumifs('600.VPA'!$D:$D,'600.VPA'!$B:$B,$D78,'600.VPA'!$A:$A,"&gt;="&amp;Y$60,'600.VPA'!$A:$A,"&lt;="&amp;Y$61,'600.VPA'!$D:$D,"&gt;"&amp;0)</f>
        <v>0</v>
      </c>
      <c r="Z78" s="157">
        <f>sumifs(Boss!$D:$D,Boss!$B:$B,$D78,Boss!$A:$A,"&gt;="&amp;Z$60,Boss!$A:$A,"&lt;="&amp;Z$61,Boss!$D:$D,"&lt;"&amp;0)+sumifs(VPA.Director!$D:$D,VPA.Director!$B:$B,$D78,VPA.Director!$A:$A,"&gt;="&amp;Z$60,VPA.Director!$A:$A,"&lt;="&amp;Z$61,VPA.Director!$D:$D,"&lt;"&amp;0)+sumifs(ADC.Director!$D:$D,ADC.Director!$B:$B,$D78,ADC.Director!$A:$A,"&gt;="&amp;Z$60,ADC.Director!$A:$A,"&lt;="&amp;Z$61,ADC.Director!$D:$D,"&lt;"&amp;0)+sumifs('000'!$D:$D,'000'!$B:$B,$D78,'000'!$A:$A,"&gt;="&amp;Z$60,'000'!$A:$A,"&lt;="&amp;Z$61,'000'!$D:$D,"&lt;"&amp;0)+sumifs('500'!$D:$D,'500'!$B:$B,$D78,'500'!$A:$A,"&gt;="&amp;Z$60,'500'!$A:$A,"&lt;="&amp;Z$61,'500'!$D:$D,"&lt;"&amp;0)+sumifs('300'!$D:$D,'300'!$B:$B,$D78,'300'!$A:$A,"&gt;="&amp;Z$60,'300'!$A:$A,"&lt;="&amp;Z$61,'300'!$D:$D,"&lt;"&amp;0)+sumifs('600.VPA'!$D:$D,'600.VPA'!$B:$B,$D78,'600.VPA'!$A:$A,"&gt;="&amp;Z$60,'600.VPA'!$A:$A,"&lt;="&amp;Z$61,'600.VPA'!$D:$D,"&lt;"&amp;0)</f>
        <v>0</v>
      </c>
      <c r="AA78" s="158">
        <f>sumifs(Boss!$D:$D,Boss!$B:$B,$D78,Boss!$A:$A,"&gt;="&amp;AA$60,Boss!$A:$A,"&lt;="&amp;AA$61,Boss!$D:$D,"&gt;"&amp;0)+sumifs(VPA.Director!$D:$D,VPA.Director!$B:$B,$D78,VPA.Director!$A:$A,"&gt;="&amp;AA$60,VPA.Director!$A:$A,"&lt;="&amp;AA$61,VPA.Director!$D:$D,"&gt;"&amp;0)+sumifs(ADC.Director!$D:$D,ADC.Director!$B:$B,$D78,ADC.Director!$A:$A,"&gt;="&amp;AA$60,ADC.Director!$A:$A,"&lt;="&amp;AA$61,ADC.Director!$D:$D,"&gt;"&amp;0)+sumifs('000'!$D:$D,'000'!$B:$B,$D78,'000'!$A:$A,"&gt;="&amp;AA$60,'000'!$A:$A,"&lt;="&amp;AA$61,'000'!$D:$D,"&gt;"&amp;0)+sumifs('500'!$D:$D,'500'!$B:$B,$D78,'500'!$A:$A,"&gt;="&amp;AA$60,'500'!$A:$A,"&lt;="&amp;AA$60,'500'!$D:$D,"&gt;"&amp;0)+sumifs('300'!$D:$D,'300'!$B:$B,$D78,'300'!$A:$A,"&gt;="&amp;AA$60,'300'!$A:$A,"&lt;="&amp;AA$61,'300'!$D:$D,"&gt;"&amp;0)+sumifs('600.VPA'!$D:$D,'600.VPA'!$B:$B,$D78,'600.VPA'!$A:$A,"&gt;="&amp;AA$60,'600.VPA'!$A:$A,"&lt;="&amp;AA$61,'600.VPA'!$D:$D,"&gt;"&amp;0)</f>
        <v>0</v>
      </c>
      <c r="AB78" s="157">
        <f>sumifs(Boss!$D:$D,Boss!$B:$B,$D78,Boss!$A:$A,"&gt;="&amp;AB$60,Boss!$A:$A,"&lt;="&amp;AB$61,Boss!$D:$D,"&lt;"&amp;0)+sumifs(VPA.Director!$D:$D,VPA.Director!$B:$B,$D78,VPA.Director!$A:$A,"&gt;="&amp;AB$60,VPA.Director!$A:$A,"&lt;="&amp;AB$61,VPA.Director!$D:$D,"&lt;"&amp;0)+sumifs(ADC.Director!$D:$D,ADC.Director!$B:$B,$D78,ADC.Director!$A:$A,"&gt;="&amp;AB$60,ADC.Director!$A:$A,"&lt;="&amp;AB$61,ADC.Director!$D:$D,"&lt;"&amp;0)+sumifs('000'!$D:$D,'000'!$B:$B,$D78,'000'!$A:$A,"&gt;="&amp;AB$60,'000'!$A:$A,"&lt;="&amp;AB$61,'000'!$D:$D,"&lt;"&amp;0)+sumifs('500'!$D:$D,'500'!$B:$B,$D78,'500'!$A:$A,"&gt;="&amp;AB$60,'500'!$A:$A,"&lt;="&amp;AB$61,'500'!$D:$D,"&lt;"&amp;0)+sumifs('300'!$D:$D,'300'!$B:$B,$D78,'300'!$A:$A,"&gt;="&amp;AB$60,'300'!$A:$A,"&lt;="&amp;AB$61,'300'!$D:$D,"&lt;"&amp;0)+sumifs('600.VPA'!$D:$D,'600.VPA'!$B:$B,$D78,'600.VPA'!$A:$A,"&gt;="&amp;AB$60,'600.VPA'!$A:$A,"&lt;="&amp;AB$61,'600.VPA'!$D:$D,"&lt;"&amp;0)</f>
        <v>0</v>
      </c>
      <c r="AC78" s="158">
        <f>sumifs(Boss!$D:$D,Boss!$B:$B,$D78,Boss!$A:$A,"&gt;="&amp;AC$60,Boss!$A:$A,"&lt;="&amp;AC$61,Boss!$D:$D,"&gt;"&amp;0)+sumifs(VPA.Director!$D:$D,VPA.Director!$B:$B,$D78,VPA.Director!$A:$A,"&gt;="&amp;AC$60,VPA.Director!$A:$A,"&lt;="&amp;AC$61,VPA.Director!$D:$D,"&gt;"&amp;0)+sumifs(ADC.Director!$D:$D,ADC.Director!$B:$B,$D78,ADC.Director!$A:$A,"&gt;="&amp;AC$60,ADC.Director!$A:$A,"&lt;="&amp;AC$61,ADC.Director!$D:$D,"&gt;"&amp;0)+sumifs('000'!$D:$D,'000'!$B:$B,$D78,'000'!$A:$A,"&gt;="&amp;AC$60,'000'!$A:$A,"&lt;="&amp;AC$61,'000'!$D:$D,"&gt;"&amp;0)+sumifs('500'!$D:$D,'500'!$B:$B,$D78,'500'!$A:$A,"&gt;="&amp;AC$60,'500'!$A:$A,"&lt;="&amp;AC$60,'500'!$D:$D,"&gt;"&amp;0)+sumifs('300'!$D:$D,'300'!$B:$B,$D78,'300'!$A:$A,"&gt;="&amp;AC$60,'300'!$A:$A,"&lt;="&amp;AC$61,'300'!$D:$D,"&gt;"&amp;0)+sumifs('600.VPA'!$D:$D,'600.VPA'!$B:$B,$D78,'600.VPA'!$A:$A,"&gt;="&amp;AC$60,'600.VPA'!$A:$A,"&lt;="&amp;AC$61,'600.VPA'!$D:$D,"&gt;"&amp;0)</f>
        <v>0</v>
      </c>
      <c r="AD78" s="157">
        <f>sumifs(Boss!$D:$D,Boss!$B:$B,$D78,Boss!$A:$A,"&gt;="&amp;AD$60,Boss!$A:$A,"&lt;="&amp;AD$61,Boss!$D:$D,"&lt;"&amp;0)+sumifs(VPA.Director!$D:$D,VPA.Director!$B:$B,$D78,VPA.Director!$A:$A,"&gt;="&amp;AD$60,VPA.Director!$A:$A,"&lt;="&amp;AD$61,VPA.Director!$D:$D,"&lt;"&amp;0)+sumifs(ADC.Director!$D:$D,ADC.Director!$B:$B,$D78,ADC.Director!$A:$A,"&gt;="&amp;AD$60,ADC.Director!$A:$A,"&lt;="&amp;AD$61,ADC.Director!$D:$D,"&lt;"&amp;0)+sumifs('000'!$D:$D,'000'!$B:$B,$D78,'000'!$A:$A,"&gt;="&amp;AD$60,'000'!$A:$A,"&lt;="&amp;AD$61,'000'!$D:$D,"&lt;"&amp;0)+sumifs('500'!$D:$D,'500'!$B:$B,$D78,'500'!$A:$A,"&gt;="&amp;AD$60,'500'!$A:$A,"&lt;="&amp;AD$61,'500'!$D:$D,"&lt;"&amp;0)+sumifs('300'!$D:$D,'300'!$B:$B,$D78,'300'!$A:$A,"&gt;="&amp;AD$60,'300'!$A:$A,"&lt;="&amp;AD$61,'300'!$D:$D,"&lt;"&amp;0)+sumifs('600.VPA'!$D:$D,'600.VPA'!$B:$B,$D78,'600.VPA'!$A:$A,"&gt;="&amp;AD$60,'600.VPA'!$A:$A,"&lt;="&amp;AD$61,'600.VPA'!$D:$D,"&lt;"&amp;0)</f>
        <v>0</v>
      </c>
      <c r="AE78" s="158">
        <f>sumifs(Boss!$D:$D,Boss!$B:$B,$D78,Boss!$A:$A,"&gt;="&amp;AE$60,Boss!$A:$A,"&lt;="&amp;AE$61,Boss!$D:$D,"&gt;"&amp;0)+sumifs(VPA.Director!$D:$D,VPA.Director!$B:$B,$D78,VPA.Director!$A:$A,"&gt;="&amp;AE$60,VPA.Director!$A:$A,"&lt;="&amp;AE$61,VPA.Director!$D:$D,"&gt;"&amp;0)+sumifs(ADC.Director!$D:$D,ADC.Director!$B:$B,$D78,ADC.Director!$A:$A,"&gt;="&amp;AE$60,ADC.Director!$A:$A,"&lt;="&amp;AE$61,ADC.Director!$D:$D,"&gt;"&amp;0)+sumifs('000'!$D:$D,'000'!$B:$B,$D78,'000'!$A:$A,"&gt;="&amp;AE$60,'000'!$A:$A,"&lt;="&amp;AE$61,'000'!$D:$D,"&gt;"&amp;0)+sumifs('500'!$D:$D,'500'!$B:$B,$D78,'500'!$A:$A,"&gt;="&amp;AE$60,'500'!$A:$A,"&lt;="&amp;AE$60,'500'!$D:$D,"&gt;"&amp;0)+sumifs('300'!$D:$D,'300'!$B:$B,$D78,'300'!$A:$A,"&gt;="&amp;AE$60,'300'!$A:$A,"&lt;="&amp;AE$61,'300'!$D:$D,"&gt;"&amp;0)+sumifs('600.VPA'!$D:$D,'600.VPA'!$B:$B,$D78,'600.VPA'!$A:$A,"&gt;="&amp;AE$60,'600.VPA'!$A:$A,"&lt;="&amp;AE$61,'600.VPA'!$D:$D,"&gt;"&amp;0)</f>
        <v>0</v>
      </c>
      <c r="AF78" s="157">
        <f>sumifs(Boss!$D:$D,Boss!$B:$B,$D78,Boss!$A:$A,"&gt;="&amp;AF$60,Boss!$A:$A,"&lt;="&amp;AF$61,Boss!$D:$D,"&lt;"&amp;0)+sumifs(VPA.Director!$D:$D,VPA.Director!$B:$B,$D78,VPA.Director!$A:$A,"&gt;="&amp;AF$60,VPA.Director!$A:$A,"&lt;="&amp;AF$61,VPA.Director!$D:$D,"&lt;"&amp;0)+sumifs(ADC.Director!$D:$D,ADC.Director!$B:$B,$D78,ADC.Director!$A:$A,"&gt;="&amp;AF$60,ADC.Director!$A:$A,"&lt;="&amp;AF$61,ADC.Director!$D:$D,"&lt;"&amp;0)+sumifs('000'!$D:$D,'000'!$B:$B,$D78,'000'!$A:$A,"&gt;="&amp;AF$60,'000'!$A:$A,"&lt;="&amp;AF$61,'000'!$D:$D,"&lt;"&amp;0)+sumifs('500'!$D:$D,'500'!$B:$B,$D78,'500'!$A:$A,"&gt;="&amp;AF$60,'500'!$A:$A,"&lt;="&amp;AF$61,'500'!$D:$D,"&lt;"&amp;0)+sumifs('300'!$D:$D,'300'!$B:$B,$D78,'300'!$A:$A,"&gt;="&amp;AF$60,'300'!$A:$A,"&lt;="&amp;AF$61,'300'!$D:$D,"&lt;"&amp;0)+sumifs('600.VPA'!$D:$D,'600.VPA'!$B:$B,$D78,'600.VPA'!$A:$A,"&gt;="&amp;AF$60,'600.VPA'!$A:$A,"&lt;="&amp;AF$61,'600.VPA'!$D:$D,"&lt;"&amp;0)</f>
        <v>0</v>
      </c>
      <c r="AG78" s="158">
        <f>sumifs(Boss!$D:$D,Boss!$B:$B,$D78,Boss!$A:$A,"&gt;="&amp;AG$60,Boss!$A:$A,"&lt;="&amp;AG$61,Boss!$D:$D,"&gt;"&amp;0)+sumifs(VPA.Director!$D:$D,VPA.Director!$B:$B,$D78,VPA.Director!$A:$A,"&gt;="&amp;AG$60,VPA.Director!$A:$A,"&lt;="&amp;AG$61,VPA.Director!$D:$D,"&gt;"&amp;0)+sumifs(ADC.Director!$D:$D,ADC.Director!$B:$B,$D78,ADC.Director!$A:$A,"&gt;="&amp;AG$60,ADC.Director!$A:$A,"&lt;="&amp;AG$61,ADC.Director!$D:$D,"&gt;"&amp;0)+sumifs('000'!$D:$D,'000'!$B:$B,$D78,'000'!$A:$A,"&gt;="&amp;AG$60,'000'!$A:$A,"&lt;="&amp;AG$61,'000'!$D:$D,"&gt;"&amp;0)+sumifs('500'!$D:$D,'500'!$B:$B,$D78,'500'!$A:$A,"&gt;="&amp;AG$60,'500'!$A:$A,"&lt;="&amp;AG$60,'500'!$D:$D,"&gt;"&amp;0)+sumifs('300'!$D:$D,'300'!$B:$B,$D78,'300'!$A:$A,"&gt;="&amp;AG$60,'300'!$A:$A,"&lt;="&amp;AG$61,'300'!$D:$D,"&gt;"&amp;0)+sumifs('600.VPA'!$D:$D,'600.VPA'!$B:$B,$D78,'600.VPA'!$A:$A,"&gt;="&amp;AG$60,'600.VPA'!$A:$A,"&lt;="&amp;AG$61,'600.VPA'!$D:$D,"&gt;"&amp;0)</f>
        <v>0</v>
      </c>
      <c r="AH78" s="159">
        <f t="shared" ref="AH78:AI78" si="17">sum(I78,K78,M78,O78,Q78,S78,V78,X78,Z78,AB78,AD78,AF78)</f>
        <v>0</v>
      </c>
      <c r="AI78" s="160">
        <f t="shared" si="17"/>
        <v>0</v>
      </c>
      <c r="AJ78" s="159">
        <f t="shared" si="4"/>
        <v>0</v>
      </c>
      <c r="AK78" s="89"/>
      <c r="AL78" s="89"/>
      <c r="AM78" s="89"/>
      <c r="AN78" s="89"/>
      <c r="AO78" s="89"/>
      <c r="AP78" s="89"/>
      <c r="AQ78" s="89"/>
      <c r="AR78" s="89"/>
      <c r="AS78" s="89"/>
      <c r="AT78" s="89"/>
      <c r="AU78" s="89"/>
    </row>
    <row r="79" hidden="1">
      <c r="A79" s="86"/>
      <c r="B79" s="153"/>
      <c r="D79" s="155"/>
      <c r="E79" s="155"/>
      <c r="F79" s="155"/>
      <c r="G79" s="155"/>
      <c r="H79" s="155"/>
      <c r="I79" s="161"/>
      <c r="J79" s="162"/>
      <c r="K79" s="161"/>
      <c r="L79" s="162"/>
      <c r="M79" s="161"/>
      <c r="N79" s="162"/>
      <c r="O79" s="161"/>
      <c r="P79" s="162"/>
      <c r="Q79" s="161"/>
      <c r="R79" s="162"/>
      <c r="S79" s="161"/>
      <c r="T79" s="162"/>
      <c r="U79" s="153"/>
      <c r="V79" s="161"/>
      <c r="W79" s="162"/>
      <c r="X79" s="161"/>
      <c r="Y79" s="162"/>
      <c r="Z79" s="161"/>
      <c r="AA79" s="162"/>
      <c r="AB79" s="161"/>
      <c r="AC79" s="162"/>
      <c r="AD79" s="161"/>
      <c r="AE79" s="162"/>
      <c r="AF79" s="161"/>
      <c r="AG79" s="162"/>
      <c r="AH79" s="153"/>
      <c r="AI79" s="162"/>
      <c r="AJ79" s="159">
        <f t="shared" si="4"/>
        <v>0</v>
      </c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</row>
    <row r="80">
      <c r="A80" s="86"/>
      <c r="B80" s="163"/>
      <c r="C80" s="164" t="s">
        <v>93</v>
      </c>
      <c r="D80" s="165" t="s">
        <v>98</v>
      </c>
      <c r="E80" s="166" t="s">
        <v>19</v>
      </c>
      <c r="F80" s="165" t="s">
        <v>153</v>
      </c>
      <c r="G80" s="165" t="s">
        <v>100</v>
      </c>
      <c r="H80" s="165" t="s">
        <v>101</v>
      </c>
      <c r="I80" s="167">
        <f>sumifs(Boss!$D:$D,Boss!$B:$B,$D80,Boss!$A:$A,"&gt;="&amp;I$60,Boss!$A:$A,"&lt;="&amp;I$61,Boss!$D:$D,"&lt;"&amp;0)+sumifs(VPA.Director!$D:$D,VPA.Director!$B:$B,$D80,VPA.Director!$A:$A,"&gt;="&amp;I$60,VPA.Director!$A:$A,"&lt;="&amp;I$61,VPA.Director!$D:$D,"&lt;"&amp;0)+sumifs(ADC.Director!$D:$D,ADC.Director!$B:$B,$D80,ADC.Director!$A:$A,"&gt;="&amp;I$60,ADC.Director!$A:$A,"&lt;="&amp;I$61,ADC.Director!$D:$D,"&lt;"&amp;0)+sumifs('000'!$D:$D,'000'!$B:$B,$D80,'000'!$A:$A,"&gt;="&amp;I$60,'000'!$A:$A,"&lt;="&amp;I$61,'000'!$D:$D,"&lt;"&amp;0)+sumifs('500'!$D:$D,'500'!$B:$B,$D80,'500'!$A:$A,"&gt;="&amp;I$60,'500'!$A:$A,"&lt;="&amp;I$61,'500'!$D:$D,"&lt;"&amp;0)+sumifs('300'!$D:$D,'300'!$B:$B,$D80,'300'!$A:$A,"&gt;="&amp;I$60,'300'!$A:$A,"&lt;="&amp;I$61,'300'!$D:$D,"&lt;"&amp;0)+sumifs('600.VPA'!$D:$D,'600.VPA'!$B:$B,$D80,'600.VPA'!$A:$A,"&gt;="&amp;I$60,'600.VPA'!$A:$A,"&lt;="&amp;I$61,'600.VPA'!$D:$D,"&lt;"&amp;0)</f>
        <v>0</v>
      </c>
      <c r="J80" s="168">
        <f>sumifs(Boss!$D:$D,Boss!$B:$B,$D80,Boss!$A:$A,"&gt;="&amp;J$60,Boss!$A:$A,"&lt;="&amp;J$61,Boss!$D:$D,"&gt;"&amp;0)+sumifs(VPA.Director!$D:$D,VPA.Director!$B:$B,$D80,VPA.Director!$A:$A,"&gt;="&amp;J$60,VPA.Director!$A:$A,"&lt;="&amp;J$61,VPA.Director!$D:$D,"&gt;"&amp;0)+sumifs(ADC.Director!$D:$D,ADC.Director!$B:$B,$D80,ADC.Director!$A:$A,"&gt;="&amp;J$60,ADC.Director!$A:$A,"&lt;="&amp;J$61,ADC.Director!$D:$D,"&gt;"&amp;0)+sumifs('000'!$D:$D,'000'!$B:$B,$D80,'000'!$A:$A,"&gt;="&amp;J$60,'000'!$A:$A,"&lt;="&amp;J$61,'000'!$D:$D,"&gt;"&amp;0)+sumifs('500'!$D:$D,'500'!$B:$B,$D80,'500'!$A:$A,"&gt;="&amp;J$60,'500'!$A:$A,"&lt;="&amp;J$60,'500'!$D:$D,"&gt;"&amp;0)+sumifs('300'!$D:$D,'300'!$B:$B,$D80,'300'!$A:$A,"&gt;="&amp;J$60,'300'!$A:$A,"&lt;="&amp;J$61,'300'!$D:$D,"&gt;"&amp;0)+sumifs('600.VPA'!$D:$D,'600.VPA'!$B:$B,$D80,'600.VPA'!$A:$A,"&gt;="&amp;J$60,'600.VPA'!$A:$A,"&lt;="&amp;J$61,'600.VPA'!$D:$D,"&gt;"&amp;0)</f>
        <v>0</v>
      </c>
      <c r="K80" s="167">
        <f>sumifs(Boss!$D:$D,Boss!$B:$B,$D80,Boss!$A:$A,"&gt;="&amp;K$60,Boss!$A:$A,"&lt;="&amp;K$61,Boss!$D:$D,"&lt;"&amp;0)+sumifs(VPA.Director!$D:$D,VPA.Director!$B:$B,$D80,VPA.Director!$A:$A,"&gt;="&amp;K$60,VPA.Director!$A:$A,"&lt;="&amp;K$61,VPA.Director!$D:$D,"&lt;"&amp;0)+sumifs(ADC.Director!$D:$D,ADC.Director!$B:$B,$D80,ADC.Director!$A:$A,"&gt;="&amp;K$60,ADC.Director!$A:$A,"&lt;="&amp;K$61,ADC.Director!$D:$D,"&lt;"&amp;0)+sumifs('000'!$D:$D,'000'!$B:$B,$D80,'000'!$A:$A,"&gt;="&amp;K$60,'000'!$A:$A,"&lt;="&amp;K$61,'000'!$D:$D,"&lt;"&amp;0)+sumifs('500'!$D:$D,'500'!$B:$B,$D80,'500'!$A:$A,"&gt;="&amp;K$60,'500'!$A:$A,"&lt;="&amp;K$61,'500'!$D:$D,"&lt;"&amp;0)+sumifs('300'!$D:$D,'300'!$B:$B,$D80,'300'!$A:$A,"&gt;="&amp;K$60,'300'!$A:$A,"&lt;="&amp;K$61,'300'!$D:$D,"&lt;"&amp;0)+sumifs('600.VPA'!$D:$D,'600.VPA'!$B:$B,$D80,'600.VPA'!$A:$A,"&gt;="&amp;K$60,'600.VPA'!$A:$A,"&lt;="&amp;K$61,'600.VPA'!$D:$D,"&lt;"&amp;0)</f>
        <v>0</v>
      </c>
      <c r="L80" s="168">
        <f>sumifs(Boss!$D:$D,Boss!$B:$B,$D80,Boss!$A:$A,"&gt;="&amp;L$60,Boss!$A:$A,"&lt;="&amp;L$61,Boss!$D:$D,"&gt;"&amp;0)+sumifs(VPA.Director!$D:$D,VPA.Director!$B:$B,$D80,VPA.Director!$A:$A,"&gt;="&amp;L$60,VPA.Director!$A:$A,"&lt;="&amp;L$61,VPA.Director!$D:$D,"&gt;"&amp;0)+sumifs(ADC.Director!$D:$D,ADC.Director!$B:$B,$D80,ADC.Director!$A:$A,"&gt;="&amp;L$60,ADC.Director!$A:$A,"&lt;="&amp;L$61,ADC.Director!$D:$D,"&gt;"&amp;0)+sumifs('000'!$D:$D,'000'!$B:$B,$D80,'000'!$A:$A,"&gt;="&amp;L$60,'000'!$A:$A,"&lt;="&amp;L$61,'000'!$D:$D,"&gt;"&amp;0)+sumifs('500'!$D:$D,'500'!$B:$B,$D80,'500'!$A:$A,"&gt;="&amp;L$60,'500'!$A:$A,"&lt;="&amp;L$60,'500'!$D:$D,"&gt;"&amp;0)+sumifs('300'!$D:$D,'300'!$B:$B,$D80,'300'!$A:$A,"&gt;="&amp;L$60,'300'!$A:$A,"&lt;="&amp;L$61,'300'!$D:$D,"&gt;"&amp;0)+sumifs('600.VPA'!$D:$D,'600.VPA'!$B:$B,$D80,'600.VPA'!$A:$A,"&gt;="&amp;L$60,'600.VPA'!$A:$A,"&lt;="&amp;L$61,'600.VPA'!$D:$D,"&gt;"&amp;0)</f>
        <v>0</v>
      </c>
      <c r="M80" s="167">
        <f>sumifs(Boss!$D:$D,Boss!$B:$B,$D80,Boss!$A:$A,"&gt;="&amp;M$60,Boss!$A:$A,"&lt;="&amp;M$61,Boss!$D:$D,"&lt;"&amp;0)+sumifs(VPA.Director!$D:$D,VPA.Director!$B:$B,$D80,VPA.Director!$A:$A,"&gt;="&amp;M$60,VPA.Director!$A:$A,"&lt;="&amp;M$61,VPA.Director!$D:$D,"&lt;"&amp;0)+sumifs(ADC.Director!$D:$D,ADC.Director!$B:$B,$D80,ADC.Director!$A:$A,"&gt;="&amp;M$60,ADC.Director!$A:$A,"&lt;="&amp;M$61,ADC.Director!$D:$D,"&lt;"&amp;0)+sumifs('000'!$D:$D,'000'!$B:$B,$D80,'000'!$A:$A,"&gt;="&amp;M$60,'000'!$A:$A,"&lt;="&amp;M$61,'000'!$D:$D,"&lt;"&amp;0)+sumifs('500'!$D:$D,'500'!$B:$B,$D80,'500'!$A:$A,"&gt;="&amp;M$60,'500'!$A:$A,"&lt;="&amp;M$61,'500'!$D:$D,"&lt;"&amp;0)+sumifs('300'!$D:$D,'300'!$B:$B,$D80,'300'!$A:$A,"&gt;="&amp;M$60,'300'!$A:$A,"&lt;="&amp;M$61,'300'!$D:$D,"&lt;"&amp;0)+sumifs('600.VPA'!$D:$D,'600.VPA'!$B:$B,$D80,'600.VPA'!$A:$A,"&gt;="&amp;M$60,'600.VPA'!$A:$A,"&lt;="&amp;M$61,'600.VPA'!$D:$D,"&lt;"&amp;0)</f>
        <v>0</v>
      </c>
      <c r="N80" s="168">
        <f>sumifs(Boss!$D:$D,Boss!$B:$B,$D80,Boss!$A:$A,"&gt;="&amp;N$60,Boss!$A:$A,"&lt;="&amp;N$61,Boss!$D:$D,"&gt;"&amp;0)+sumifs(VPA.Director!$D:$D,VPA.Director!$B:$B,$D80,VPA.Director!$A:$A,"&gt;="&amp;N$60,VPA.Director!$A:$A,"&lt;="&amp;N$61,VPA.Director!$D:$D,"&gt;"&amp;0)+sumifs(ADC.Director!$D:$D,ADC.Director!$B:$B,$D80,ADC.Director!$A:$A,"&gt;="&amp;N$60,ADC.Director!$A:$A,"&lt;="&amp;N$61,ADC.Director!$D:$D,"&gt;"&amp;0)+sumifs('000'!$D:$D,'000'!$B:$B,$D80,'000'!$A:$A,"&gt;="&amp;N$60,'000'!$A:$A,"&lt;="&amp;N$61,'000'!$D:$D,"&gt;"&amp;0)+sumifs('500'!$D:$D,'500'!$B:$B,$D80,'500'!$A:$A,"&gt;="&amp;N$60,'500'!$A:$A,"&lt;="&amp;N$60,'500'!$D:$D,"&gt;"&amp;0)+sumifs('300'!$D:$D,'300'!$B:$B,$D80,'300'!$A:$A,"&gt;="&amp;N$60,'300'!$A:$A,"&lt;="&amp;N$61,'300'!$D:$D,"&gt;"&amp;0)+sumifs('600.VPA'!$D:$D,'600.VPA'!$B:$B,$D80,'600.VPA'!$A:$A,"&gt;="&amp;N$60,'600.VPA'!$A:$A,"&lt;="&amp;N$61,'600.VPA'!$D:$D,"&gt;"&amp;0)</f>
        <v>0</v>
      </c>
      <c r="O80" s="167">
        <f>sumifs(Boss!$D:$D,Boss!$B:$B,$D80,Boss!$A:$A,"&gt;="&amp;O$60,Boss!$A:$A,"&lt;="&amp;O$61,Boss!$D:$D,"&lt;"&amp;0)+sumifs(VPA.Director!$D:$D,VPA.Director!$B:$B,$D80,VPA.Director!$A:$A,"&gt;="&amp;O$60,VPA.Director!$A:$A,"&lt;="&amp;O$61,VPA.Director!$D:$D,"&lt;"&amp;0)+sumifs(ADC.Director!$D:$D,ADC.Director!$B:$B,$D80,ADC.Director!$A:$A,"&gt;="&amp;O$60,ADC.Director!$A:$A,"&lt;="&amp;O$61,ADC.Director!$D:$D,"&lt;"&amp;0)+sumifs('000'!$D:$D,'000'!$B:$B,$D80,'000'!$A:$A,"&gt;="&amp;O$60,'000'!$A:$A,"&lt;="&amp;O$61,'000'!$D:$D,"&lt;"&amp;0)+sumifs('500'!$D:$D,'500'!$B:$B,$D80,'500'!$A:$A,"&gt;="&amp;O$60,'500'!$A:$A,"&lt;="&amp;O$61,'500'!$D:$D,"&lt;"&amp;0)+sumifs('300'!$D:$D,'300'!$B:$B,$D80,'300'!$A:$A,"&gt;="&amp;O$60,'300'!$A:$A,"&lt;="&amp;O$61,'300'!$D:$D,"&lt;"&amp;0)+sumifs('600.VPA'!$D:$D,'600.VPA'!$B:$B,$D80,'600.VPA'!$A:$A,"&gt;="&amp;O$60,'600.VPA'!$A:$A,"&lt;="&amp;O$61,'600.VPA'!$D:$D,"&lt;"&amp;0)</f>
        <v>0</v>
      </c>
      <c r="P80" s="168">
        <f>sumifs(Boss!$D:$D,Boss!$B:$B,$D80,Boss!$A:$A,"&gt;="&amp;P$60,Boss!$A:$A,"&lt;="&amp;P$61,Boss!$D:$D,"&gt;"&amp;0)+sumifs(VPA.Director!$D:$D,VPA.Director!$B:$B,$D80,VPA.Director!$A:$A,"&gt;="&amp;P$60,VPA.Director!$A:$A,"&lt;="&amp;P$61,VPA.Director!$D:$D,"&gt;"&amp;0)+sumifs(ADC.Director!$D:$D,ADC.Director!$B:$B,$D80,ADC.Director!$A:$A,"&gt;="&amp;P$60,ADC.Director!$A:$A,"&lt;="&amp;P$61,ADC.Director!$D:$D,"&gt;"&amp;0)+sumifs('000'!$D:$D,'000'!$B:$B,$D80,'000'!$A:$A,"&gt;="&amp;P$60,'000'!$A:$A,"&lt;="&amp;P$61,'000'!$D:$D,"&gt;"&amp;0)+sumifs('500'!$D:$D,'500'!$B:$B,$D80,'500'!$A:$A,"&gt;="&amp;P$60,'500'!$A:$A,"&lt;="&amp;P$60,'500'!$D:$D,"&gt;"&amp;0)+sumifs('300'!$D:$D,'300'!$B:$B,$D80,'300'!$A:$A,"&gt;="&amp;P$60,'300'!$A:$A,"&lt;="&amp;P$61,'300'!$D:$D,"&gt;"&amp;0)+sumifs('600.VPA'!$D:$D,'600.VPA'!$B:$B,$D80,'600.VPA'!$A:$A,"&gt;="&amp;P$60,'600.VPA'!$A:$A,"&lt;="&amp;P$61,'600.VPA'!$D:$D,"&gt;"&amp;0)</f>
        <v>0</v>
      </c>
      <c r="Q80" s="167">
        <f>sumifs(Boss!$D:$D,Boss!$B:$B,$D80,Boss!$A:$A,"&gt;="&amp;Q$60,Boss!$A:$A,"&lt;="&amp;Q$61,Boss!$D:$D,"&lt;"&amp;0)+sumifs(VPA.Director!$D:$D,VPA.Director!$B:$B,$D80,VPA.Director!$A:$A,"&gt;="&amp;Q$60,VPA.Director!$A:$A,"&lt;="&amp;Q$61,VPA.Director!$D:$D,"&lt;"&amp;0)+sumifs(ADC.Director!$D:$D,ADC.Director!$B:$B,$D80,ADC.Director!$A:$A,"&gt;="&amp;Q$60,ADC.Director!$A:$A,"&lt;="&amp;Q$61,ADC.Director!$D:$D,"&lt;"&amp;0)+sumifs('000'!$D:$D,'000'!$B:$B,$D80,'000'!$A:$A,"&gt;="&amp;Q$60,'000'!$A:$A,"&lt;="&amp;Q$61,'000'!$D:$D,"&lt;"&amp;0)+sumifs('500'!$D:$D,'500'!$B:$B,$D80,'500'!$A:$A,"&gt;="&amp;Q$60,'500'!$A:$A,"&lt;="&amp;Q$61,'500'!$D:$D,"&lt;"&amp;0)+sumifs('300'!$D:$D,'300'!$B:$B,$D80,'300'!$A:$A,"&gt;="&amp;Q$60,'300'!$A:$A,"&lt;="&amp;Q$61,'300'!$D:$D,"&lt;"&amp;0)+sumifs('600.VPA'!$D:$D,'600.VPA'!$B:$B,$D80,'600.VPA'!$A:$A,"&gt;="&amp;Q$60,'600.VPA'!$A:$A,"&lt;="&amp;Q$61,'600.VPA'!$D:$D,"&lt;"&amp;0)</f>
        <v>0</v>
      </c>
      <c r="R80" s="168">
        <f>sumifs(Boss!$D:$D,Boss!$B:$B,$D80,Boss!$A:$A,"&gt;="&amp;R$60,Boss!$A:$A,"&lt;="&amp;R$61,Boss!$D:$D,"&gt;"&amp;0)+sumifs(VPA.Director!$D:$D,VPA.Director!$B:$B,$D80,VPA.Director!$A:$A,"&gt;="&amp;R$60,VPA.Director!$A:$A,"&lt;="&amp;R$61,VPA.Director!$D:$D,"&gt;"&amp;0)+sumifs(ADC.Director!$D:$D,ADC.Director!$B:$B,$D80,ADC.Director!$A:$A,"&gt;="&amp;R$60,ADC.Director!$A:$A,"&lt;="&amp;R$61,ADC.Director!$D:$D,"&gt;"&amp;0)+sumifs('000'!$D:$D,'000'!$B:$B,$D80,'000'!$A:$A,"&gt;="&amp;R$60,'000'!$A:$A,"&lt;="&amp;R$61,'000'!$D:$D,"&gt;"&amp;0)+sumifs('500'!$D:$D,'500'!$B:$B,$D80,'500'!$A:$A,"&gt;="&amp;R$60,'500'!$A:$A,"&lt;="&amp;R$60,'500'!$D:$D,"&gt;"&amp;0)+sumifs('300'!$D:$D,'300'!$B:$B,$D80,'300'!$A:$A,"&gt;="&amp;R$60,'300'!$A:$A,"&lt;="&amp;R$61,'300'!$D:$D,"&gt;"&amp;0)+sumifs('600.VPA'!$D:$D,'600.VPA'!$B:$B,$D80,'600.VPA'!$A:$A,"&gt;="&amp;R$60,'600.VPA'!$A:$A,"&lt;="&amp;R$61,'600.VPA'!$D:$D,"&gt;"&amp;0)</f>
        <v>0</v>
      </c>
      <c r="S80" s="167">
        <f>sumifs(Boss!$D:$D,Boss!$B:$B,$D80,Boss!$A:$A,"&gt;="&amp;S$60,Boss!$A:$A,"&lt;="&amp;S$61,Boss!$D:$D,"&lt;"&amp;0)+sumifs(VPA.Director!$D:$D,VPA.Director!$B:$B,$D80,VPA.Director!$A:$A,"&gt;="&amp;S$60,VPA.Director!$A:$A,"&lt;="&amp;S$61,VPA.Director!$D:$D,"&lt;"&amp;0)+sumifs(ADC.Director!$D:$D,ADC.Director!$B:$B,$D80,ADC.Director!$A:$A,"&gt;="&amp;S$60,ADC.Director!$A:$A,"&lt;="&amp;S$61,ADC.Director!$D:$D,"&lt;"&amp;0)+sumifs('000'!$D:$D,'000'!$B:$B,$D80,'000'!$A:$A,"&gt;="&amp;S$60,'000'!$A:$A,"&lt;="&amp;S$61,'000'!$D:$D,"&lt;"&amp;0)+sumifs('500'!$D:$D,'500'!$B:$B,$D80,'500'!$A:$A,"&gt;="&amp;S$60,'500'!$A:$A,"&lt;="&amp;S$61,'500'!$D:$D,"&lt;"&amp;0)+sumifs('300'!$D:$D,'300'!$B:$B,$D80,'300'!$A:$A,"&gt;="&amp;S$60,'300'!$A:$A,"&lt;="&amp;S$61,'300'!$D:$D,"&lt;"&amp;0)+sumifs('600.VPA'!$D:$D,'600.VPA'!$B:$B,$D80,'600.VPA'!$A:$A,"&gt;="&amp;S$60,'600.VPA'!$A:$A,"&lt;="&amp;S$61,'600.VPA'!$D:$D,"&lt;"&amp;0)</f>
        <v>0</v>
      </c>
      <c r="T80" s="168">
        <f>sumifs(Boss!$D:$D,Boss!$B:$B,$D80,Boss!$A:$A,"&gt;="&amp;T$60,Boss!$A:$A,"&lt;="&amp;T$61,Boss!$D:$D,"&gt;"&amp;0)+sumifs(VPA.Director!$D:$D,VPA.Director!$B:$B,$D80,VPA.Director!$A:$A,"&gt;="&amp;T$60,VPA.Director!$A:$A,"&lt;="&amp;T$61,VPA.Director!$D:$D,"&gt;"&amp;0)+sumifs(ADC.Director!$D:$D,ADC.Director!$B:$B,$D80,ADC.Director!$A:$A,"&gt;="&amp;T$60,ADC.Director!$A:$A,"&lt;="&amp;T$61,ADC.Director!$D:$D,"&gt;"&amp;0)+sumifs('000'!$D:$D,'000'!$B:$B,$D80,'000'!$A:$A,"&gt;="&amp;T$60,'000'!$A:$A,"&lt;="&amp;T$61,'000'!$D:$D,"&gt;"&amp;0)+sumifs('500'!$D:$D,'500'!$B:$B,$D80,'500'!$A:$A,"&gt;="&amp;T$60,'500'!$A:$A,"&lt;="&amp;T$60,'500'!$D:$D,"&gt;"&amp;0)+sumifs('300'!$D:$D,'300'!$B:$B,$D80,'300'!$A:$A,"&gt;="&amp;T$60,'300'!$A:$A,"&lt;="&amp;T$61,'300'!$D:$D,"&gt;"&amp;0)+sumifs('600.VPA'!$D:$D,'600.VPA'!$B:$B,$D80,'600.VPA'!$A:$A,"&gt;="&amp;T$60,'600.VPA'!$A:$A,"&lt;="&amp;T$61,'600.VPA'!$D:$D,"&gt;"&amp;0)</f>
        <v>0</v>
      </c>
      <c r="U80" s="163"/>
      <c r="V80" s="167">
        <f>sumifs(Boss!$D:$D,Boss!$B:$B,$D80,Boss!$A:$A,"&gt;="&amp;V$60,Boss!$A:$A,"&lt;="&amp;V$61,Boss!$D:$D,"&lt;"&amp;0)+sumifs(VPA.Director!$D:$D,VPA.Director!$B:$B,$D80,VPA.Director!$A:$A,"&gt;="&amp;V$60,VPA.Director!$A:$A,"&lt;="&amp;V$61,VPA.Director!$D:$D,"&lt;"&amp;0)+sumifs(ADC.Director!$D:$D,ADC.Director!$B:$B,$D80,ADC.Director!$A:$A,"&gt;="&amp;V$60,ADC.Director!$A:$A,"&lt;="&amp;V$61,ADC.Director!$D:$D,"&lt;"&amp;0)+sumifs('000'!$D:$D,'000'!$B:$B,$D80,'000'!$A:$A,"&gt;="&amp;V$60,'000'!$A:$A,"&lt;="&amp;V$61,'000'!$D:$D,"&lt;"&amp;0)+sumifs('500'!$D:$D,'500'!$B:$B,$D80,'500'!$A:$A,"&gt;="&amp;V$60,'500'!$A:$A,"&lt;="&amp;V$61,'500'!$D:$D,"&lt;"&amp;0)+sumifs('300'!$D:$D,'300'!$B:$B,$D80,'300'!$A:$A,"&gt;="&amp;V$60,'300'!$A:$A,"&lt;="&amp;V$61,'300'!$D:$D,"&lt;"&amp;0)+sumifs('600.VPA'!$D:$D,'600.VPA'!$B:$B,$D80,'600.VPA'!$A:$A,"&gt;="&amp;V$60,'600.VPA'!$A:$A,"&lt;="&amp;V$61,'600.VPA'!$D:$D,"&lt;"&amp;0)</f>
        <v>0</v>
      </c>
      <c r="W80" s="168">
        <f>sumifs(Boss!$D:$D,Boss!$B:$B,$D80,Boss!$A:$A,"&gt;="&amp;W$60,Boss!$A:$A,"&lt;="&amp;W$61,Boss!$D:$D,"&gt;"&amp;0)+sumifs(VPA.Director!$D:$D,VPA.Director!$B:$B,$D80,VPA.Director!$A:$A,"&gt;="&amp;W$60,VPA.Director!$A:$A,"&lt;="&amp;W$61,VPA.Director!$D:$D,"&gt;"&amp;0)+sumifs(ADC.Director!$D:$D,ADC.Director!$B:$B,$D80,ADC.Director!$A:$A,"&gt;="&amp;W$60,ADC.Director!$A:$A,"&lt;="&amp;W$61,ADC.Director!$D:$D,"&gt;"&amp;0)+sumifs('000'!$D:$D,'000'!$B:$B,$D80,'000'!$A:$A,"&gt;="&amp;W$60,'000'!$A:$A,"&lt;="&amp;W$61,'000'!$D:$D,"&gt;"&amp;0)+sumifs('500'!$D:$D,'500'!$B:$B,$D80,'500'!$A:$A,"&gt;="&amp;W$60,'500'!$A:$A,"&lt;="&amp;W$60,'500'!$D:$D,"&gt;"&amp;0)+sumifs('300'!$D:$D,'300'!$B:$B,$D80,'300'!$A:$A,"&gt;="&amp;W$60,'300'!$A:$A,"&lt;="&amp;W$61,'300'!$D:$D,"&gt;"&amp;0)+sumifs('600.VPA'!$D:$D,'600.VPA'!$B:$B,$D80,'600.VPA'!$A:$A,"&gt;="&amp;W$60,'600.VPA'!$A:$A,"&lt;="&amp;W$61,'600.VPA'!$D:$D,"&gt;"&amp;0)</f>
        <v>0</v>
      </c>
      <c r="X80" s="167">
        <f>sumifs(Boss!$D:$D,Boss!$B:$B,$D80,Boss!$A:$A,"&gt;="&amp;X$60,Boss!$A:$A,"&lt;="&amp;X$61,Boss!$D:$D,"&lt;"&amp;0)+sumifs(VPA.Director!$D:$D,VPA.Director!$B:$B,$D80,VPA.Director!$A:$A,"&gt;="&amp;X$60,VPA.Director!$A:$A,"&lt;="&amp;X$61,VPA.Director!$D:$D,"&lt;"&amp;0)+sumifs(ADC.Director!$D:$D,ADC.Director!$B:$B,$D80,ADC.Director!$A:$A,"&gt;="&amp;X$60,ADC.Director!$A:$A,"&lt;="&amp;X$61,ADC.Director!$D:$D,"&lt;"&amp;0)+sumifs('000'!$D:$D,'000'!$B:$B,$D80,'000'!$A:$A,"&gt;="&amp;X$60,'000'!$A:$A,"&lt;="&amp;X$61,'000'!$D:$D,"&lt;"&amp;0)+sumifs('500'!$D:$D,'500'!$B:$B,$D80,'500'!$A:$A,"&gt;="&amp;X$60,'500'!$A:$A,"&lt;="&amp;X$61,'500'!$D:$D,"&lt;"&amp;0)+sumifs('300'!$D:$D,'300'!$B:$B,$D80,'300'!$A:$A,"&gt;="&amp;X$60,'300'!$A:$A,"&lt;="&amp;X$61,'300'!$D:$D,"&lt;"&amp;0)+sumifs('600.VPA'!$D:$D,'600.VPA'!$B:$B,$D80,'600.VPA'!$A:$A,"&gt;="&amp;X$60,'600.VPA'!$A:$A,"&lt;="&amp;X$61,'600.VPA'!$D:$D,"&lt;"&amp;0)</f>
        <v>0</v>
      </c>
      <c r="Y80" s="168">
        <f>sumifs(Boss!$D:$D,Boss!$B:$B,$D80,Boss!$A:$A,"&gt;="&amp;Y$60,Boss!$A:$A,"&lt;="&amp;Y$61,Boss!$D:$D,"&gt;"&amp;0)+sumifs(VPA.Director!$D:$D,VPA.Director!$B:$B,$D80,VPA.Director!$A:$A,"&gt;="&amp;Y$60,VPA.Director!$A:$A,"&lt;="&amp;Y$61,VPA.Director!$D:$D,"&gt;"&amp;0)+sumifs(ADC.Director!$D:$D,ADC.Director!$B:$B,$D80,ADC.Director!$A:$A,"&gt;="&amp;Y$60,ADC.Director!$A:$A,"&lt;="&amp;Y$61,ADC.Director!$D:$D,"&gt;"&amp;0)+sumifs('000'!$D:$D,'000'!$B:$B,$D80,'000'!$A:$A,"&gt;="&amp;Y$60,'000'!$A:$A,"&lt;="&amp;Y$61,'000'!$D:$D,"&gt;"&amp;0)+sumifs('500'!$D:$D,'500'!$B:$B,$D80,'500'!$A:$A,"&gt;="&amp;Y$60,'500'!$A:$A,"&lt;="&amp;Y$60,'500'!$D:$D,"&gt;"&amp;0)+sumifs('300'!$D:$D,'300'!$B:$B,$D80,'300'!$A:$A,"&gt;="&amp;Y$60,'300'!$A:$A,"&lt;="&amp;Y$61,'300'!$D:$D,"&gt;"&amp;0)+sumifs('600.VPA'!$D:$D,'600.VPA'!$B:$B,$D80,'600.VPA'!$A:$A,"&gt;="&amp;Y$60,'600.VPA'!$A:$A,"&lt;="&amp;Y$61,'600.VPA'!$D:$D,"&gt;"&amp;0)</f>
        <v>0</v>
      </c>
      <c r="Z80" s="167">
        <f>sumifs(Boss!$D:$D,Boss!$B:$B,$D80,Boss!$A:$A,"&gt;="&amp;Z$60,Boss!$A:$A,"&lt;="&amp;Z$61,Boss!$D:$D,"&lt;"&amp;0)+sumifs(VPA.Director!$D:$D,VPA.Director!$B:$B,$D80,VPA.Director!$A:$A,"&gt;="&amp;Z$60,VPA.Director!$A:$A,"&lt;="&amp;Z$61,VPA.Director!$D:$D,"&lt;"&amp;0)+sumifs(ADC.Director!$D:$D,ADC.Director!$B:$B,$D80,ADC.Director!$A:$A,"&gt;="&amp;Z$60,ADC.Director!$A:$A,"&lt;="&amp;Z$61,ADC.Director!$D:$D,"&lt;"&amp;0)+sumifs('000'!$D:$D,'000'!$B:$B,$D80,'000'!$A:$A,"&gt;="&amp;Z$60,'000'!$A:$A,"&lt;="&amp;Z$61,'000'!$D:$D,"&lt;"&amp;0)+sumifs('500'!$D:$D,'500'!$B:$B,$D80,'500'!$A:$A,"&gt;="&amp;Z$60,'500'!$A:$A,"&lt;="&amp;Z$61,'500'!$D:$D,"&lt;"&amp;0)+sumifs('300'!$D:$D,'300'!$B:$B,$D80,'300'!$A:$A,"&gt;="&amp;Z$60,'300'!$A:$A,"&lt;="&amp;Z$61,'300'!$D:$D,"&lt;"&amp;0)+sumifs('600.VPA'!$D:$D,'600.VPA'!$B:$B,$D80,'600.VPA'!$A:$A,"&gt;="&amp;Z$60,'600.VPA'!$A:$A,"&lt;="&amp;Z$61,'600.VPA'!$D:$D,"&lt;"&amp;0)</f>
        <v>0</v>
      </c>
      <c r="AA80" s="168">
        <f>sumifs(Boss!$D:$D,Boss!$B:$B,$D80,Boss!$A:$A,"&gt;="&amp;AA$60,Boss!$A:$A,"&lt;="&amp;AA$61,Boss!$D:$D,"&gt;"&amp;0)+sumifs(VPA.Director!$D:$D,VPA.Director!$B:$B,$D80,VPA.Director!$A:$A,"&gt;="&amp;AA$60,VPA.Director!$A:$A,"&lt;="&amp;AA$61,VPA.Director!$D:$D,"&gt;"&amp;0)+sumifs(ADC.Director!$D:$D,ADC.Director!$B:$B,$D80,ADC.Director!$A:$A,"&gt;="&amp;AA$60,ADC.Director!$A:$A,"&lt;="&amp;AA$61,ADC.Director!$D:$D,"&gt;"&amp;0)+sumifs('000'!$D:$D,'000'!$B:$B,$D80,'000'!$A:$A,"&gt;="&amp;AA$60,'000'!$A:$A,"&lt;="&amp;AA$61,'000'!$D:$D,"&gt;"&amp;0)+sumifs('500'!$D:$D,'500'!$B:$B,$D80,'500'!$A:$A,"&gt;="&amp;AA$60,'500'!$A:$A,"&lt;="&amp;AA$60,'500'!$D:$D,"&gt;"&amp;0)+sumifs('300'!$D:$D,'300'!$B:$B,$D80,'300'!$A:$A,"&gt;="&amp;AA$60,'300'!$A:$A,"&lt;="&amp;AA$61,'300'!$D:$D,"&gt;"&amp;0)+sumifs('600.VPA'!$D:$D,'600.VPA'!$B:$B,$D80,'600.VPA'!$A:$A,"&gt;="&amp;AA$60,'600.VPA'!$A:$A,"&lt;="&amp;AA$61,'600.VPA'!$D:$D,"&gt;"&amp;0)</f>
        <v>0</v>
      </c>
      <c r="AB80" s="167">
        <f>sumifs(Boss!$D:$D,Boss!$B:$B,$D80,Boss!$A:$A,"&gt;="&amp;AB$60,Boss!$A:$A,"&lt;="&amp;AB$61,Boss!$D:$D,"&lt;"&amp;0)+sumifs(VPA.Director!$D:$D,VPA.Director!$B:$B,$D80,VPA.Director!$A:$A,"&gt;="&amp;AB$60,VPA.Director!$A:$A,"&lt;="&amp;AB$61,VPA.Director!$D:$D,"&lt;"&amp;0)+sumifs(ADC.Director!$D:$D,ADC.Director!$B:$B,$D80,ADC.Director!$A:$A,"&gt;="&amp;AB$60,ADC.Director!$A:$A,"&lt;="&amp;AB$61,ADC.Director!$D:$D,"&lt;"&amp;0)+sumifs('000'!$D:$D,'000'!$B:$B,$D80,'000'!$A:$A,"&gt;="&amp;AB$60,'000'!$A:$A,"&lt;="&amp;AB$61,'000'!$D:$D,"&lt;"&amp;0)+sumifs('500'!$D:$D,'500'!$B:$B,$D80,'500'!$A:$A,"&gt;="&amp;AB$60,'500'!$A:$A,"&lt;="&amp;AB$61,'500'!$D:$D,"&lt;"&amp;0)+sumifs('300'!$D:$D,'300'!$B:$B,$D80,'300'!$A:$A,"&gt;="&amp;AB$60,'300'!$A:$A,"&lt;="&amp;AB$61,'300'!$D:$D,"&lt;"&amp;0)+sumifs('600.VPA'!$D:$D,'600.VPA'!$B:$B,$D80,'600.VPA'!$A:$A,"&gt;="&amp;AB$60,'600.VPA'!$A:$A,"&lt;="&amp;AB$61,'600.VPA'!$D:$D,"&lt;"&amp;0)</f>
        <v>0</v>
      </c>
      <c r="AC80" s="168">
        <f>sumifs(Boss!$D:$D,Boss!$B:$B,$D80,Boss!$A:$A,"&gt;="&amp;AC$60,Boss!$A:$A,"&lt;="&amp;AC$61,Boss!$D:$D,"&gt;"&amp;0)+sumifs(VPA.Director!$D:$D,VPA.Director!$B:$B,$D80,VPA.Director!$A:$A,"&gt;="&amp;AC$60,VPA.Director!$A:$A,"&lt;="&amp;AC$61,VPA.Director!$D:$D,"&gt;"&amp;0)+sumifs(ADC.Director!$D:$D,ADC.Director!$B:$B,$D80,ADC.Director!$A:$A,"&gt;="&amp;AC$60,ADC.Director!$A:$A,"&lt;="&amp;AC$61,ADC.Director!$D:$D,"&gt;"&amp;0)+sumifs('000'!$D:$D,'000'!$B:$B,$D80,'000'!$A:$A,"&gt;="&amp;AC$60,'000'!$A:$A,"&lt;="&amp;AC$61,'000'!$D:$D,"&gt;"&amp;0)+sumifs('500'!$D:$D,'500'!$B:$B,$D80,'500'!$A:$A,"&gt;="&amp;AC$60,'500'!$A:$A,"&lt;="&amp;AC$60,'500'!$D:$D,"&gt;"&amp;0)+sumifs('300'!$D:$D,'300'!$B:$B,$D80,'300'!$A:$A,"&gt;="&amp;AC$60,'300'!$A:$A,"&lt;="&amp;AC$61,'300'!$D:$D,"&gt;"&amp;0)+sumifs('600.VPA'!$D:$D,'600.VPA'!$B:$B,$D80,'600.VPA'!$A:$A,"&gt;="&amp;AC$60,'600.VPA'!$A:$A,"&lt;="&amp;AC$61,'600.VPA'!$D:$D,"&gt;"&amp;0)</f>
        <v>0</v>
      </c>
      <c r="AD80" s="167">
        <f>sumifs(Boss!$D:$D,Boss!$B:$B,$D80,Boss!$A:$A,"&gt;="&amp;AD$60,Boss!$A:$A,"&lt;="&amp;AD$61,Boss!$D:$D,"&lt;"&amp;0)+sumifs(VPA.Director!$D:$D,VPA.Director!$B:$B,$D80,VPA.Director!$A:$A,"&gt;="&amp;AD$60,VPA.Director!$A:$A,"&lt;="&amp;AD$61,VPA.Director!$D:$D,"&lt;"&amp;0)+sumifs(ADC.Director!$D:$D,ADC.Director!$B:$B,$D80,ADC.Director!$A:$A,"&gt;="&amp;AD$60,ADC.Director!$A:$A,"&lt;="&amp;AD$61,ADC.Director!$D:$D,"&lt;"&amp;0)+sumifs('000'!$D:$D,'000'!$B:$B,$D80,'000'!$A:$A,"&gt;="&amp;AD$60,'000'!$A:$A,"&lt;="&amp;AD$61,'000'!$D:$D,"&lt;"&amp;0)+sumifs('500'!$D:$D,'500'!$B:$B,$D80,'500'!$A:$A,"&gt;="&amp;AD$60,'500'!$A:$A,"&lt;="&amp;AD$61,'500'!$D:$D,"&lt;"&amp;0)+sumifs('300'!$D:$D,'300'!$B:$B,$D80,'300'!$A:$A,"&gt;="&amp;AD$60,'300'!$A:$A,"&lt;="&amp;AD$61,'300'!$D:$D,"&lt;"&amp;0)+sumifs('600.VPA'!$D:$D,'600.VPA'!$B:$B,$D80,'600.VPA'!$A:$A,"&gt;="&amp;AD$60,'600.VPA'!$A:$A,"&lt;="&amp;AD$61,'600.VPA'!$D:$D,"&lt;"&amp;0)</f>
        <v>0</v>
      </c>
      <c r="AE80" s="168">
        <f>sumifs(Boss!$D:$D,Boss!$B:$B,$D80,Boss!$A:$A,"&gt;="&amp;AE$60,Boss!$A:$A,"&lt;="&amp;AE$61,Boss!$D:$D,"&gt;"&amp;0)+sumifs(VPA.Director!$D:$D,VPA.Director!$B:$B,$D80,VPA.Director!$A:$A,"&gt;="&amp;AE$60,VPA.Director!$A:$A,"&lt;="&amp;AE$61,VPA.Director!$D:$D,"&gt;"&amp;0)+sumifs(ADC.Director!$D:$D,ADC.Director!$B:$B,$D80,ADC.Director!$A:$A,"&gt;="&amp;AE$60,ADC.Director!$A:$A,"&lt;="&amp;AE$61,ADC.Director!$D:$D,"&gt;"&amp;0)+sumifs('000'!$D:$D,'000'!$B:$B,$D80,'000'!$A:$A,"&gt;="&amp;AE$60,'000'!$A:$A,"&lt;="&amp;AE$61,'000'!$D:$D,"&gt;"&amp;0)+sumifs('500'!$D:$D,'500'!$B:$B,$D80,'500'!$A:$A,"&gt;="&amp;AE$60,'500'!$A:$A,"&lt;="&amp;AE$60,'500'!$D:$D,"&gt;"&amp;0)+sumifs('300'!$D:$D,'300'!$B:$B,$D80,'300'!$A:$A,"&gt;="&amp;AE$60,'300'!$A:$A,"&lt;="&amp;AE$61,'300'!$D:$D,"&gt;"&amp;0)+sumifs('600.VPA'!$D:$D,'600.VPA'!$B:$B,$D80,'600.VPA'!$A:$A,"&gt;="&amp;AE$60,'600.VPA'!$A:$A,"&lt;="&amp;AE$61,'600.VPA'!$D:$D,"&gt;"&amp;0)</f>
        <v>0</v>
      </c>
      <c r="AF80" s="167">
        <f>sumifs(Boss!$D:$D,Boss!$B:$B,$D80,Boss!$A:$A,"&gt;="&amp;AF$60,Boss!$A:$A,"&lt;="&amp;AF$61,Boss!$D:$D,"&lt;"&amp;0)+sumifs(VPA.Director!$D:$D,VPA.Director!$B:$B,$D80,VPA.Director!$A:$A,"&gt;="&amp;AF$60,VPA.Director!$A:$A,"&lt;="&amp;AF$61,VPA.Director!$D:$D,"&lt;"&amp;0)+sumifs(ADC.Director!$D:$D,ADC.Director!$B:$B,$D80,ADC.Director!$A:$A,"&gt;="&amp;AF$60,ADC.Director!$A:$A,"&lt;="&amp;AF$61,ADC.Director!$D:$D,"&lt;"&amp;0)+sumifs('000'!$D:$D,'000'!$B:$B,$D80,'000'!$A:$A,"&gt;="&amp;AF$60,'000'!$A:$A,"&lt;="&amp;AF$61,'000'!$D:$D,"&lt;"&amp;0)+sumifs('500'!$D:$D,'500'!$B:$B,$D80,'500'!$A:$A,"&gt;="&amp;AF$60,'500'!$A:$A,"&lt;="&amp;AF$61,'500'!$D:$D,"&lt;"&amp;0)+sumifs('300'!$D:$D,'300'!$B:$B,$D80,'300'!$A:$A,"&gt;="&amp;AF$60,'300'!$A:$A,"&lt;="&amp;AF$61,'300'!$D:$D,"&lt;"&amp;0)+sumifs('600.VPA'!$D:$D,'600.VPA'!$B:$B,$D80,'600.VPA'!$A:$A,"&gt;="&amp;AF$60,'600.VPA'!$A:$A,"&lt;="&amp;AF$61,'600.VPA'!$D:$D,"&lt;"&amp;0)</f>
        <v>0</v>
      </c>
      <c r="AG80" s="168">
        <f>sumifs(Boss!$D:$D,Boss!$B:$B,$D80,Boss!$A:$A,"&gt;="&amp;AG$60,Boss!$A:$A,"&lt;="&amp;AG$61,Boss!$D:$D,"&gt;"&amp;0)+sumifs(VPA.Director!$D:$D,VPA.Director!$B:$B,$D80,VPA.Director!$A:$A,"&gt;="&amp;AG$60,VPA.Director!$A:$A,"&lt;="&amp;AG$61,VPA.Director!$D:$D,"&gt;"&amp;0)+sumifs(ADC.Director!$D:$D,ADC.Director!$B:$B,$D80,ADC.Director!$A:$A,"&gt;="&amp;AG$60,ADC.Director!$A:$A,"&lt;="&amp;AG$61,ADC.Director!$D:$D,"&gt;"&amp;0)+sumifs('000'!$D:$D,'000'!$B:$B,$D80,'000'!$A:$A,"&gt;="&amp;AG$60,'000'!$A:$A,"&lt;="&amp;AG$61,'000'!$D:$D,"&gt;"&amp;0)+sumifs('500'!$D:$D,'500'!$B:$B,$D80,'500'!$A:$A,"&gt;="&amp;AG$60,'500'!$A:$A,"&lt;="&amp;AG$60,'500'!$D:$D,"&gt;"&amp;0)+sumifs('300'!$D:$D,'300'!$B:$B,$D80,'300'!$A:$A,"&gt;="&amp;AG$60,'300'!$A:$A,"&lt;="&amp;AG$61,'300'!$D:$D,"&gt;"&amp;0)+sumifs('600.VPA'!$D:$D,'600.VPA'!$B:$B,$D80,'600.VPA'!$A:$A,"&gt;="&amp;AG$60,'600.VPA'!$A:$A,"&lt;="&amp;AG$61,'600.VPA'!$D:$D,"&gt;"&amp;0)</f>
        <v>0</v>
      </c>
      <c r="AH80" s="169">
        <f t="shared" ref="AH80:AI80" si="18">sum(I80,K80,M80,O80,Q80,S80,V80,X80,Z80,AB80,AD80,AF80)</f>
        <v>0</v>
      </c>
      <c r="AI80" s="170">
        <f t="shared" si="18"/>
        <v>0</v>
      </c>
      <c r="AJ80" s="169">
        <f t="shared" si="4"/>
        <v>0</v>
      </c>
      <c r="AK80" s="89"/>
      <c r="AL80" s="89"/>
      <c r="AM80" s="89"/>
      <c r="AN80" s="89"/>
      <c r="AO80" s="89"/>
      <c r="AP80" s="89"/>
      <c r="AQ80" s="89"/>
      <c r="AR80" s="89"/>
      <c r="AS80" s="89"/>
      <c r="AT80" s="89"/>
      <c r="AU80" s="89"/>
    </row>
    <row r="81">
      <c r="A81" s="86"/>
      <c r="B81" s="163"/>
      <c r="D81" s="165" t="s">
        <v>102</v>
      </c>
      <c r="E81" s="166" t="s">
        <v>20</v>
      </c>
      <c r="F81" s="165" t="s">
        <v>154</v>
      </c>
      <c r="G81" s="165" t="s">
        <v>155</v>
      </c>
      <c r="H81" s="165" t="s">
        <v>97</v>
      </c>
      <c r="I81" s="167">
        <f>sumifs(Boss!$D:$D,Boss!$B:$B,$D81,Boss!$A:$A,"&gt;="&amp;I$60,Boss!$A:$A,"&lt;="&amp;I$61,Boss!$D:$D,"&lt;"&amp;0)+sumifs(VPA.Director!$D:$D,VPA.Director!$B:$B,$D81,VPA.Director!$A:$A,"&gt;="&amp;I$60,VPA.Director!$A:$A,"&lt;="&amp;I$61,VPA.Director!$D:$D,"&lt;"&amp;0)+sumifs(ADC.Director!$D:$D,ADC.Director!$B:$B,$D81,ADC.Director!$A:$A,"&gt;="&amp;I$60,ADC.Director!$A:$A,"&lt;="&amp;I$61,ADC.Director!$D:$D,"&lt;"&amp;0)+sumifs('000'!$D:$D,'000'!$B:$B,$D81,'000'!$A:$A,"&gt;="&amp;I$60,'000'!$A:$A,"&lt;="&amp;I$61,'000'!$D:$D,"&lt;"&amp;0)+sumifs('500'!$D:$D,'500'!$B:$B,$D81,'500'!$A:$A,"&gt;="&amp;I$60,'500'!$A:$A,"&lt;="&amp;I$61,'500'!$D:$D,"&lt;"&amp;0)+sumifs('300'!$D:$D,'300'!$B:$B,$D81,'300'!$A:$A,"&gt;="&amp;I$60,'300'!$A:$A,"&lt;="&amp;I$61,'300'!$D:$D,"&lt;"&amp;0)+sumifs('600.VPA'!$D:$D,'600.VPA'!$B:$B,$D81,'600.VPA'!$A:$A,"&gt;="&amp;I$60,'600.VPA'!$A:$A,"&lt;="&amp;I$61,'600.VPA'!$D:$D,"&lt;"&amp;0)</f>
        <v>0</v>
      </c>
      <c r="J81" s="168">
        <f>sumifs(Boss!$D:$D,Boss!$B:$B,$D81,Boss!$A:$A,"&gt;="&amp;J$60,Boss!$A:$A,"&lt;="&amp;J$61,Boss!$D:$D,"&gt;"&amp;0)+sumifs(VPA.Director!$D:$D,VPA.Director!$B:$B,$D81,VPA.Director!$A:$A,"&gt;="&amp;J$60,VPA.Director!$A:$A,"&lt;="&amp;J$61,VPA.Director!$D:$D,"&gt;"&amp;0)+sumifs(ADC.Director!$D:$D,ADC.Director!$B:$B,$D81,ADC.Director!$A:$A,"&gt;="&amp;J$60,ADC.Director!$A:$A,"&lt;="&amp;J$61,ADC.Director!$D:$D,"&gt;"&amp;0)+sumifs('000'!$D:$D,'000'!$B:$B,$D81,'000'!$A:$A,"&gt;="&amp;J$60,'000'!$A:$A,"&lt;="&amp;J$61,'000'!$D:$D,"&gt;"&amp;0)+sumifs('500'!$D:$D,'500'!$B:$B,$D81,'500'!$A:$A,"&gt;="&amp;J$60,'500'!$A:$A,"&lt;="&amp;J$60,'500'!$D:$D,"&gt;"&amp;0)+sumifs('300'!$D:$D,'300'!$B:$B,$D81,'300'!$A:$A,"&gt;="&amp;J$60,'300'!$A:$A,"&lt;="&amp;J$61,'300'!$D:$D,"&gt;"&amp;0)+sumifs('600.VPA'!$D:$D,'600.VPA'!$B:$B,$D81,'600.VPA'!$A:$A,"&gt;="&amp;J$60,'600.VPA'!$A:$A,"&lt;="&amp;J$61,'600.VPA'!$D:$D,"&gt;"&amp;0)</f>
        <v>0</v>
      </c>
      <c r="K81" s="167">
        <f>sumifs(Boss!$D:$D,Boss!$B:$B,$D81,Boss!$A:$A,"&gt;="&amp;K$60,Boss!$A:$A,"&lt;="&amp;K$61,Boss!$D:$D,"&lt;"&amp;0)+sumifs(VPA.Director!$D:$D,VPA.Director!$B:$B,$D81,VPA.Director!$A:$A,"&gt;="&amp;K$60,VPA.Director!$A:$A,"&lt;="&amp;K$61,VPA.Director!$D:$D,"&lt;"&amp;0)+sumifs(ADC.Director!$D:$D,ADC.Director!$B:$B,$D81,ADC.Director!$A:$A,"&gt;="&amp;K$60,ADC.Director!$A:$A,"&lt;="&amp;K$61,ADC.Director!$D:$D,"&lt;"&amp;0)+sumifs('000'!$D:$D,'000'!$B:$B,$D81,'000'!$A:$A,"&gt;="&amp;K$60,'000'!$A:$A,"&lt;="&amp;K$61,'000'!$D:$D,"&lt;"&amp;0)+sumifs('500'!$D:$D,'500'!$B:$B,$D81,'500'!$A:$A,"&gt;="&amp;K$60,'500'!$A:$A,"&lt;="&amp;K$61,'500'!$D:$D,"&lt;"&amp;0)+sumifs('300'!$D:$D,'300'!$B:$B,$D81,'300'!$A:$A,"&gt;="&amp;K$60,'300'!$A:$A,"&lt;="&amp;K$61,'300'!$D:$D,"&lt;"&amp;0)+sumifs('600.VPA'!$D:$D,'600.VPA'!$B:$B,$D81,'600.VPA'!$A:$A,"&gt;="&amp;K$60,'600.VPA'!$A:$A,"&lt;="&amp;K$61,'600.VPA'!$D:$D,"&lt;"&amp;0)</f>
        <v>0</v>
      </c>
      <c r="L81" s="168">
        <f>sumifs(Boss!$D:$D,Boss!$B:$B,$D81,Boss!$A:$A,"&gt;="&amp;L$60,Boss!$A:$A,"&lt;="&amp;L$61,Boss!$D:$D,"&gt;"&amp;0)+sumifs(VPA.Director!$D:$D,VPA.Director!$B:$B,$D81,VPA.Director!$A:$A,"&gt;="&amp;L$60,VPA.Director!$A:$A,"&lt;="&amp;L$61,VPA.Director!$D:$D,"&gt;"&amp;0)+sumifs(ADC.Director!$D:$D,ADC.Director!$B:$B,$D81,ADC.Director!$A:$A,"&gt;="&amp;L$60,ADC.Director!$A:$A,"&lt;="&amp;L$61,ADC.Director!$D:$D,"&gt;"&amp;0)+sumifs('000'!$D:$D,'000'!$B:$B,$D81,'000'!$A:$A,"&gt;="&amp;L$60,'000'!$A:$A,"&lt;="&amp;L$61,'000'!$D:$D,"&gt;"&amp;0)+sumifs('500'!$D:$D,'500'!$B:$B,$D81,'500'!$A:$A,"&gt;="&amp;L$60,'500'!$A:$A,"&lt;="&amp;L$60,'500'!$D:$D,"&gt;"&amp;0)+sumifs('300'!$D:$D,'300'!$B:$B,$D81,'300'!$A:$A,"&gt;="&amp;L$60,'300'!$A:$A,"&lt;="&amp;L$61,'300'!$D:$D,"&gt;"&amp;0)+sumifs('600.VPA'!$D:$D,'600.VPA'!$B:$B,$D81,'600.VPA'!$A:$A,"&gt;="&amp;L$60,'600.VPA'!$A:$A,"&lt;="&amp;L$61,'600.VPA'!$D:$D,"&gt;"&amp;0)</f>
        <v>0</v>
      </c>
      <c r="M81" s="167">
        <f>sumifs(Boss!$D:$D,Boss!$B:$B,$D81,Boss!$A:$A,"&gt;="&amp;M$60,Boss!$A:$A,"&lt;="&amp;M$61,Boss!$D:$D,"&lt;"&amp;0)+sumifs(VPA.Director!$D:$D,VPA.Director!$B:$B,$D81,VPA.Director!$A:$A,"&gt;="&amp;M$60,VPA.Director!$A:$A,"&lt;="&amp;M$61,VPA.Director!$D:$D,"&lt;"&amp;0)+sumifs(ADC.Director!$D:$D,ADC.Director!$B:$B,$D81,ADC.Director!$A:$A,"&gt;="&amp;M$60,ADC.Director!$A:$A,"&lt;="&amp;M$61,ADC.Director!$D:$D,"&lt;"&amp;0)+sumifs('000'!$D:$D,'000'!$B:$B,$D81,'000'!$A:$A,"&gt;="&amp;M$60,'000'!$A:$A,"&lt;="&amp;M$61,'000'!$D:$D,"&lt;"&amp;0)+sumifs('500'!$D:$D,'500'!$B:$B,$D81,'500'!$A:$A,"&gt;="&amp;M$60,'500'!$A:$A,"&lt;="&amp;M$61,'500'!$D:$D,"&lt;"&amp;0)+sumifs('300'!$D:$D,'300'!$B:$B,$D81,'300'!$A:$A,"&gt;="&amp;M$60,'300'!$A:$A,"&lt;="&amp;M$61,'300'!$D:$D,"&lt;"&amp;0)+sumifs('600.VPA'!$D:$D,'600.VPA'!$B:$B,$D81,'600.VPA'!$A:$A,"&gt;="&amp;M$60,'600.VPA'!$A:$A,"&lt;="&amp;M$61,'600.VPA'!$D:$D,"&lt;"&amp;0)</f>
        <v>0</v>
      </c>
      <c r="N81" s="168">
        <f>sumifs(Boss!$D:$D,Boss!$B:$B,$D81,Boss!$A:$A,"&gt;="&amp;N$60,Boss!$A:$A,"&lt;="&amp;N$61,Boss!$D:$D,"&gt;"&amp;0)+sumifs(VPA.Director!$D:$D,VPA.Director!$B:$B,$D81,VPA.Director!$A:$A,"&gt;="&amp;N$60,VPA.Director!$A:$A,"&lt;="&amp;N$61,VPA.Director!$D:$D,"&gt;"&amp;0)+sumifs(ADC.Director!$D:$D,ADC.Director!$B:$B,$D81,ADC.Director!$A:$A,"&gt;="&amp;N$60,ADC.Director!$A:$A,"&lt;="&amp;N$61,ADC.Director!$D:$D,"&gt;"&amp;0)+sumifs('000'!$D:$D,'000'!$B:$B,$D81,'000'!$A:$A,"&gt;="&amp;N$60,'000'!$A:$A,"&lt;="&amp;N$61,'000'!$D:$D,"&gt;"&amp;0)+sumifs('500'!$D:$D,'500'!$B:$B,$D81,'500'!$A:$A,"&gt;="&amp;N$60,'500'!$A:$A,"&lt;="&amp;N$60,'500'!$D:$D,"&gt;"&amp;0)+sumifs('300'!$D:$D,'300'!$B:$B,$D81,'300'!$A:$A,"&gt;="&amp;N$60,'300'!$A:$A,"&lt;="&amp;N$61,'300'!$D:$D,"&gt;"&amp;0)+sumifs('600.VPA'!$D:$D,'600.VPA'!$B:$B,$D81,'600.VPA'!$A:$A,"&gt;="&amp;N$60,'600.VPA'!$A:$A,"&lt;="&amp;N$61,'600.VPA'!$D:$D,"&gt;"&amp;0)</f>
        <v>0</v>
      </c>
      <c r="O81" s="167">
        <f>sumifs(Boss!$D:$D,Boss!$B:$B,$D81,Boss!$A:$A,"&gt;="&amp;O$60,Boss!$A:$A,"&lt;="&amp;O$61,Boss!$D:$D,"&lt;"&amp;0)+sumifs(VPA.Director!$D:$D,VPA.Director!$B:$B,$D81,VPA.Director!$A:$A,"&gt;="&amp;O$60,VPA.Director!$A:$A,"&lt;="&amp;O$61,VPA.Director!$D:$D,"&lt;"&amp;0)+sumifs(ADC.Director!$D:$D,ADC.Director!$B:$B,$D81,ADC.Director!$A:$A,"&gt;="&amp;O$60,ADC.Director!$A:$A,"&lt;="&amp;O$61,ADC.Director!$D:$D,"&lt;"&amp;0)+sumifs('000'!$D:$D,'000'!$B:$B,$D81,'000'!$A:$A,"&gt;="&amp;O$60,'000'!$A:$A,"&lt;="&amp;O$61,'000'!$D:$D,"&lt;"&amp;0)+sumifs('500'!$D:$D,'500'!$B:$B,$D81,'500'!$A:$A,"&gt;="&amp;O$60,'500'!$A:$A,"&lt;="&amp;O$61,'500'!$D:$D,"&lt;"&amp;0)+sumifs('300'!$D:$D,'300'!$B:$B,$D81,'300'!$A:$A,"&gt;="&amp;O$60,'300'!$A:$A,"&lt;="&amp;O$61,'300'!$D:$D,"&lt;"&amp;0)+sumifs('600.VPA'!$D:$D,'600.VPA'!$B:$B,$D81,'600.VPA'!$A:$A,"&gt;="&amp;O$60,'600.VPA'!$A:$A,"&lt;="&amp;O$61,'600.VPA'!$D:$D,"&lt;"&amp;0)</f>
        <v>0</v>
      </c>
      <c r="P81" s="168">
        <f>sumifs(Boss!$D:$D,Boss!$B:$B,$D81,Boss!$A:$A,"&gt;="&amp;P$60,Boss!$A:$A,"&lt;="&amp;P$61,Boss!$D:$D,"&gt;"&amp;0)+sumifs(VPA.Director!$D:$D,VPA.Director!$B:$B,$D81,VPA.Director!$A:$A,"&gt;="&amp;P$60,VPA.Director!$A:$A,"&lt;="&amp;P$61,VPA.Director!$D:$D,"&gt;"&amp;0)+sumifs(ADC.Director!$D:$D,ADC.Director!$B:$B,$D81,ADC.Director!$A:$A,"&gt;="&amp;P$60,ADC.Director!$A:$A,"&lt;="&amp;P$61,ADC.Director!$D:$D,"&gt;"&amp;0)+sumifs('000'!$D:$D,'000'!$B:$B,$D81,'000'!$A:$A,"&gt;="&amp;P$60,'000'!$A:$A,"&lt;="&amp;P$61,'000'!$D:$D,"&gt;"&amp;0)+sumifs('500'!$D:$D,'500'!$B:$B,$D81,'500'!$A:$A,"&gt;="&amp;P$60,'500'!$A:$A,"&lt;="&amp;P$60,'500'!$D:$D,"&gt;"&amp;0)+sumifs('300'!$D:$D,'300'!$B:$B,$D81,'300'!$A:$A,"&gt;="&amp;P$60,'300'!$A:$A,"&lt;="&amp;P$61,'300'!$D:$D,"&gt;"&amp;0)+sumifs('600.VPA'!$D:$D,'600.VPA'!$B:$B,$D81,'600.VPA'!$A:$A,"&gt;="&amp;P$60,'600.VPA'!$A:$A,"&lt;="&amp;P$61,'600.VPA'!$D:$D,"&gt;"&amp;0)</f>
        <v>0</v>
      </c>
      <c r="Q81" s="167">
        <f>sumifs(Boss!$D:$D,Boss!$B:$B,$D81,Boss!$A:$A,"&gt;="&amp;Q$60,Boss!$A:$A,"&lt;="&amp;Q$61,Boss!$D:$D,"&lt;"&amp;0)+sumifs(VPA.Director!$D:$D,VPA.Director!$B:$B,$D81,VPA.Director!$A:$A,"&gt;="&amp;Q$60,VPA.Director!$A:$A,"&lt;="&amp;Q$61,VPA.Director!$D:$D,"&lt;"&amp;0)+sumifs(ADC.Director!$D:$D,ADC.Director!$B:$B,$D81,ADC.Director!$A:$A,"&gt;="&amp;Q$60,ADC.Director!$A:$A,"&lt;="&amp;Q$61,ADC.Director!$D:$D,"&lt;"&amp;0)+sumifs('000'!$D:$D,'000'!$B:$B,$D81,'000'!$A:$A,"&gt;="&amp;Q$60,'000'!$A:$A,"&lt;="&amp;Q$61,'000'!$D:$D,"&lt;"&amp;0)+sumifs('500'!$D:$D,'500'!$B:$B,$D81,'500'!$A:$A,"&gt;="&amp;Q$60,'500'!$A:$A,"&lt;="&amp;Q$61,'500'!$D:$D,"&lt;"&amp;0)+sumifs('300'!$D:$D,'300'!$B:$B,$D81,'300'!$A:$A,"&gt;="&amp;Q$60,'300'!$A:$A,"&lt;="&amp;Q$61,'300'!$D:$D,"&lt;"&amp;0)+sumifs('600.VPA'!$D:$D,'600.VPA'!$B:$B,$D81,'600.VPA'!$A:$A,"&gt;="&amp;Q$60,'600.VPA'!$A:$A,"&lt;="&amp;Q$61,'600.VPA'!$D:$D,"&lt;"&amp;0)</f>
        <v>0</v>
      </c>
      <c r="R81" s="168">
        <f>sumifs(Boss!$D:$D,Boss!$B:$B,$D81,Boss!$A:$A,"&gt;="&amp;R$60,Boss!$A:$A,"&lt;="&amp;R$61,Boss!$D:$D,"&gt;"&amp;0)+sumifs(VPA.Director!$D:$D,VPA.Director!$B:$B,$D81,VPA.Director!$A:$A,"&gt;="&amp;R$60,VPA.Director!$A:$A,"&lt;="&amp;R$61,VPA.Director!$D:$D,"&gt;"&amp;0)+sumifs(ADC.Director!$D:$D,ADC.Director!$B:$B,$D81,ADC.Director!$A:$A,"&gt;="&amp;R$60,ADC.Director!$A:$A,"&lt;="&amp;R$61,ADC.Director!$D:$D,"&gt;"&amp;0)+sumifs('000'!$D:$D,'000'!$B:$B,$D81,'000'!$A:$A,"&gt;="&amp;R$60,'000'!$A:$A,"&lt;="&amp;R$61,'000'!$D:$D,"&gt;"&amp;0)+sumifs('500'!$D:$D,'500'!$B:$B,$D81,'500'!$A:$A,"&gt;="&amp;R$60,'500'!$A:$A,"&lt;="&amp;R$60,'500'!$D:$D,"&gt;"&amp;0)+sumifs('300'!$D:$D,'300'!$B:$B,$D81,'300'!$A:$A,"&gt;="&amp;R$60,'300'!$A:$A,"&lt;="&amp;R$61,'300'!$D:$D,"&gt;"&amp;0)+sumifs('600.VPA'!$D:$D,'600.VPA'!$B:$B,$D81,'600.VPA'!$A:$A,"&gt;="&amp;R$60,'600.VPA'!$A:$A,"&lt;="&amp;R$61,'600.VPA'!$D:$D,"&gt;"&amp;0)</f>
        <v>0</v>
      </c>
      <c r="S81" s="167">
        <f>sumifs(Boss!$D:$D,Boss!$B:$B,$D81,Boss!$A:$A,"&gt;="&amp;S$60,Boss!$A:$A,"&lt;="&amp;S$61,Boss!$D:$D,"&lt;"&amp;0)+sumifs(VPA.Director!$D:$D,VPA.Director!$B:$B,$D81,VPA.Director!$A:$A,"&gt;="&amp;S$60,VPA.Director!$A:$A,"&lt;="&amp;S$61,VPA.Director!$D:$D,"&lt;"&amp;0)+sumifs(ADC.Director!$D:$D,ADC.Director!$B:$B,$D81,ADC.Director!$A:$A,"&gt;="&amp;S$60,ADC.Director!$A:$A,"&lt;="&amp;S$61,ADC.Director!$D:$D,"&lt;"&amp;0)+sumifs('000'!$D:$D,'000'!$B:$B,$D81,'000'!$A:$A,"&gt;="&amp;S$60,'000'!$A:$A,"&lt;="&amp;S$61,'000'!$D:$D,"&lt;"&amp;0)+sumifs('500'!$D:$D,'500'!$B:$B,$D81,'500'!$A:$A,"&gt;="&amp;S$60,'500'!$A:$A,"&lt;="&amp;S$61,'500'!$D:$D,"&lt;"&amp;0)+sumifs('300'!$D:$D,'300'!$B:$B,$D81,'300'!$A:$A,"&gt;="&amp;S$60,'300'!$A:$A,"&lt;="&amp;S$61,'300'!$D:$D,"&lt;"&amp;0)+sumifs('600.VPA'!$D:$D,'600.VPA'!$B:$B,$D81,'600.VPA'!$A:$A,"&gt;="&amp;S$60,'600.VPA'!$A:$A,"&lt;="&amp;S$61,'600.VPA'!$D:$D,"&lt;"&amp;0)</f>
        <v>0</v>
      </c>
      <c r="T81" s="168">
        <f>sumifs(Boss!$D:$D,Boss!$B:$B,$D81,Boss!$A:$A,"&gt;="&amp;T$60,Boss!$A:$A,"&lt;="&amp;T$61,Boss!$D:$D,"&gt;"&amp;0)+sumifs(VPA.Director!$D:$D,VPA.Director!$B:$B,$D81,VPA.Director!$A:$A,"&gt;="&amp;T$60,VPA.Director!$A:$A,"&lt;="&amp;T$61,VPA.Director!$D:$D,"&gt;"&amp;0)+sumifs(ADC.Director!$D:$D,ADC.Director!$B:$B,$D81,ADC.Director!$A:$A,"&gt;="&amp;T$60,ADC.Director!$A:$A,"&lt;="&amp;T$61,ADC.Director!$D:$D,"&gt;"&amp;0)+sumifs('000'!$D:$D,'000'!$B:$B,$D81,'000'!$A:$A,"&gt;="&amp;T$60,'000'!$A:$A,"&lt;="&amp;T$61,'000'!$D:$D,"&gt;"&amp;0)+sumifs('500'!$D:$D,'500'!$B:$B,$D81,'500'!$A:$A,"&gt;="&amp;T$60,'500'!$A:$A,"&lt;="&amp;T$60,'500'!$D:$D,"&gt;"&amp;0)+sumifs('300'!$D:$D,'300'!$B:$B,$D81,'300'!$A:$A,"&gt;="&amp;T$60,'300'!$A:$A,"&lt;="&amp;T$61,'300'!$D:$D,"&gt;"&amp;0)+sumifs('600.VPA'!$D:$D,'600.VPA'!$B:$B,$D81,'600.VPA'!$A:$A,"&gt;="&amp;T$60,'600.VPA'!$A:$A,"&lt;="&amp;T$61,'600.VPA'!$D:$D,"&gt;"&amp;0)</f>
        <v>0</v>
      </c>
      <c r="U81" s="163"/>
      <c r="V81" s="167">
        <f>sumifs(Boss!$D:$D,Boss!$B:$B,$D81,Boss!$A:$A,"&gt;="&amp;V$60,Boss!$A:$A,"&lt;="&amp;V$61,Boss!$D:$D,"&lt;"&amp;0)+sumifs(VPA.Director!$D:$D,VPA.Director!$B:$B,$D81,VPA.Director!$A:$A,"&gt;="&amp;V$60,VPA.Director!$A:$A,"&lt;="&amp;V$61,VPA.Director!$D:$D,"&lt;"&amp;0)+sumifs(ADC.Director!$D:$D,ADC.Director!$B:$B,$D81,ADC.Director!$A:$A,"&gt;="&amp;V$60,ADC.Director!$A:$A,"&lt;="&amp;V$61,ADC.Director!$D:$D,"&lt;"&amp;0)+sumifs('000'!$D:$D,'000'!$B:$B,$D81,'000'!$A:$A,"&gt;="&amp;V$60,'000'!$A:$A,"&lt;="&amp;V$61,'000'!$D:$D,"&lt;"&amp;0)+sumifs('500'!$D:$D,'500'!$B:$B,$D81,'500'!$A:$A,"&gt;="&amp;V$60,'500'!$A:$A,"&lt;="&amp;V$61,'500'!$D:$D,"&lt;"&amp;0)+sumifs('300'!$D:$D,'300'!$B:$B,$D81,'300'!$A:$A,"&gt;="&amp;V$60,'300'!$A:$A,"&lt;="&amp;V$61,'300'!$D:$D,"&lt;"&amp;0)+sumifs('600.VPA'!$D:$D,'600.VPA'!$B:$B,$D81,'600.VPA'!$A:$A,"&gt;="&amp;V$60,'600.VPA'!$A:$A,"&lt;="&amp;V$61,'600.VPA'!$D:$D,"&lt;"&amp;0)</f>
        <v>0</v>
      </c>
      <c r="W81" s="168">
        <f>sumifs(Boss!$D:$D,Boss!$B:$B,$D81,Boss!$A:$A,"&gt;="&amp;W$60,Boss!$A:$A,"&lt;="&amp;W$61,Boss!$D:$D,"&gt;"&amp;0)+sumifs(VPA.Director!$D:$D,VPA.Director!$B:$B,$D81,VPA.Director!$A:$A,"&gt;="&amp;W$60,VPA.Director!$A:$A,"&lt;="&amp;W$61,VPA.Director!$D:$D,"&gt;"&amp;0)+sumifs(ADC.Director!$D:$D,ADC.Director!$B:$B,$D81,ADC.Director!$A:$A,"&gt;="&amp;W$60,ADC.Director!$A:$A,"&lt;="&amp;W$61,ADC.Director!$D:$D,"&gt;"&amp;0)+sumifs('000'!$D:$D,'000'!$B:$B,$D81,'000'!$A:$A,"&gt;="&amp;W$60,'000'!$A:$A,"&lt;="&amp;W$61,'000'!$D:$D,"&gt;"&amp;0)+sumifs('500'!$D:$D,'500'!$B:$B,$D81,'500'!$A:$A,"&gt;="&amp;W$60,'500'!$A:$A,"&lt;="&amp;W$60,'500'!$D:$D,"&gt;"&amp;0)+sumifs('300'!$D:$D,'300'!$B:$B,$D81,'300'!$A:$A,"&gt;="&amp;W$60,'300'!$A:$A,"&lt;="&amp;W$61,'300'!$D:$D,"&gt;"&amp;0)+sumifs('600.VPA'!$D:$D,'600.VPA'!$B:$B,$D81,'600.VPA'!$A:$A,"&gt;="&amp;W$60,'600.VPA'!$A:$A,"&lt;="&amp;W$61,'600.VPA'!$D:$D,"&gt;"&amp;0)</f>
        <v>0</v>
      </c>
      <c r="X81" s="167">
        <f>sumifs(Boss!$D:$D,Boss!$B:$B,$D81,Boss!$A:$A,"&gt;="&amp;X$60,Boss!$A:$A,"&lt;="&amp;X$61,Boss!$D:$D,"&lt;"&amp;0)+sumifs(VPA.Director!$D:$D,VPA.Director!$B:$B,$D81,VPA.Director!$A:$A,"&gt;="&amp;X$60,VPA.Director!$A:$A,"&lt;="&amp;X$61,VPA.Director!$D:$D,"&lt;"&amp;0)+sumifs(ADC.Director!$D:$D,ADC.Director!$B:$B,$D81,ADC.Director!$A:$A,"&gt;="&amp;X$60,ADC.Director!$A:$A,"&lt;="&amp;X$61,ADC.Director!$D:$D,"&lt;"&amp;0)+sumifs('000'!$D:$D,'000'!$B:$B,$D81,'000'!$A:$A,"&gt;="&amp;X$60,'000'!$A:$A,"&lt;="&amp;X$61,'000'!$D:$D,"&lt;"&amp;0)+sumifs('500'!$D:$D,'500'!$B:$B,$D81,'500'!$A:$A,"&gt;="&amp;X$60,'500'!$A:$A,"&lt;="&amp;X$61,'500'!$D:$D,"&lt;"&amp;0)+sumifs('300'!$D:$D,'300'!$B:$B,$D81,'300'!$A:$A,"&gt;="&amp;X$60,'300'!$A:$A,"&lt;="&amp;X$61,'300'!$D:$D,"&lt;"&amp;0)+sumifs('600.VPA'!$D:$D,'600.VPA'!$B:$B,$D81,'600.VPA'!$A:$A,"&gt;="&amp;X$60,'600.VPA'!$A:$A,"&lt;="&amp;X$61,'600.VPA'!$D:$D,"&lt;"&amp;0)</f>
        <v>0</v>
      </c>
      <c r="Y81" s="168">
        <f>sumifs(Boss!$D:$D,Boss!$B:$B,$D81,Boss!$A:$A,"&gt;="&amp;Y$60,Boss!$A:$A,"&lt;="&amp;Y$61,Boss!$D:$D,"&gt;"&amp;0)+sumifs(VPA.Director!$D:$D,VPA.Director!$B:$B,$D81,VPA.Director!$A:$A,"&gt;="&amp;Y$60,VPA.Director!$A:$A,"&lt;="&amp;Y$61,VPA.Director!$D:$D,"&gt;"&amp;0)+sumifs(ADC.Director!$D:$D,ADC.Director!$B:$B,$D81,ADC.Director!$A:$A,"&gt;="&amp;Y$60,ADC.Director!$A:$A,"&lt;="&amp;Y$61,ADC.Director!$D:$D,"&gt;"&amp;0)+sumifs('000'!$D:$D,'000'!$B:$B,$D81,'000'!$A:$A,"&gt;="&amp;Y$60,'000'!$A:$A,"&lt;="&amp;Y$61,'000'!$D:$D,"&gt;"&amp;0)+sumifs('500'!$D:$D,'500'!$B:$B,$D81,'500'!$A:$A,"&gt;="&amp;Y$60,'500'!$A:$A,"&lt;="&amp;Y$60,'500'!$D:$D,"&gt;"&amp;0)+sumifs('300'!$D:$D,'300'!$B:$B,$D81,'300'!$A:$A,"&gt;="&amp;Y$60,'300'!$A:$A,"&lt;="&amp;Y$61,'300'!$D:$D,"&gt;"&amp;0)+sumifs('600.VPA'!$D:$D,'600.VPA'!$B:$B,$D81,'600.VPA'!$A:$A,"&gt;="&amp;Y$60,'600.VPA'!$A:$A,"&lt;="&amp;Y$61,'600.VPA'!$D:$D,"&gt;"&amp;0)</f>
        <v>0</v>
      </c>
      <c r="Z81" s="167">
        <f>sumifs(Boss!$D:$D,Boss!$B:$B,$D81,Boss!$A:$A,"&gt;="&amp;Z$60,Boss!$A:$A,"&lt;="&amp;Z$61,Boss!$D:$D,"&lt;"&amp;0)+sumifs(VPA.Director!$D:$D,VPA.Director!$B:$B,$D81,VPA.Director!$A:$A,"&gt;="&amp;Z$60,VPA.Director!$A:$A,"&lt;="&amp;Z$61,VPA.Director!$D:$D,"&lt;"&amp;0)+sumifs(ADC.Director!$D:$D,ADC.Director!$B:$B,$D81,ADC.Director!$A:$A,"&gt;="&amp;Z$60,ADC.Director!$A:$A,"&lt;="&amp;Z$61,ADC.Director!$D:$D,"&lt;"&amp;0)+sumifs('000'!$D:$D,'000'!$B:$B,$D81,'000'!$A:$A,"&gt;="&amp;Z$60,'000'!$A:$A,"&lt;="&amp;Z$61,'000'!$D:$D,"&lt;"&amp;0)+sumifs('500'!$D:$D,'500'!$B:$B,$D81,'500'!$A:$A,"&gt;="&amp;Z$60,'500'!$A:$A,"&lt;="&amp;Z$61,'500'!$D:$D,"&lt;"&amp;0)+sumifs('300'!$D:$D,'300'!$B:$B,$D81,'300'!$A:$A,"&gt;="&amp;Z$60,'300'!$A:$A,"&lt;="&amp;Z$61,'300'!$D:$D,"&lt;"&amp;0)+sumifs('600.VPA'!$D:$D,'600.VPA'!$B:$B,$D81,'600.VPA'!$A:$A,"&gt;="&amp;Z$60,'600.VPA'!$A:$A,"&lt;="&amp;Z$61,'600.VPA'!$D:$D,"&lt;"&amp;0)</f>
        <v>0</v>
      </c>
      <c r="AA81" s="168">
        <f>sumifs(Boss!$D:$D,Boss!$B:$B,$D81,Boss!$A:$A,"&gt;="&amp;AA$60,Boss!$A:$A,"&lt;="&amp;AA$61,Boss!$D:$D,"&gt;"&amp;0)+sumifs(VPA.Director!$D:$D,VPA.Director!$B:$B,$D81,VPA.Director!$A:$A,"&gt;="&amp;AA$60,VPA.Director!$A:$A,"&lt;="&amp;AA$61,VPA.Director!$D:$D,"&gt;"&amp;0)+sumifs(ADC.Director!$D:$D,ADC.Director!$B:$B,$D81,ADC.Director!$A:$A,"&gt;="&amp;AA$60,ADC.Director!$A:$A,"&lt;="&amp;AA$61,ADC.Director!$D:$D,"&gt;"&amp;0)+sumifs('000'!$D:$D,'000'!$B:$B,$D81,'000'!$A:$A,"&gt;="&amp;AA$60,'000'!$A:$A,"&lt;="&amp;AA$61,'000'!$D:$D,"&gt;"&amp;0)+sumifs('500'!$D:$D,'500'!$B:$B,$D81,'500'!$A:$A,"&gt;="&amp;AA$60,'500'!$A:$A,"&lt;="&amp;AA$60,'500'!$D:$D,"&gt;"&amp;0)+sumifs('300'!$D:$D,'300'!$B:$B,$D81,'300'!$A:$A,"&gt;="&amp;AA$60,'300'!$A:$A,"&lt;="&amp;AA$61,'300'!$D:$D,"&gt;"&amp;0)+sumifs('600.VPA'!$D:$D,'600.VPA'!$B:$B,$D81,'600.VPA'!$A:$A,"&gt;="&amp;AA$60,'600.VPA'!$A:$A,"&lt;="&amp;AA$61,'600.VPA'!$D:$D,"&gt;"&amp;0)</f>
        <v>0</v>
      </c>
      <c r="AB81" s="167">
        <f>sumifs(Boss!$D:$D,Boss!$B:$B,$D81,Boss!$A:$A,"&gt;="&amp;AB$60,Boss!$A:$A,"&lt;="&amp;AB$61,Boss!$D:$D,"&lt;"&amp;0)+sumifs(VPA.Director!$D:$D,VPA.Director!$B:$B,$D81,VPA.Director!$A:$A,"&gt;="&amp;AB$60,VPA.Director!$A:$A,"&lt;="&amp;AB$61,VPA.Director!$D:$D,"&lt;"&amp;0)+sumifs(ADC.Director!$D:$D,ADC.Director!$B:$B,$D81,ADC.Director!$A:$A,"&gt;="&amp;AB$60,ADC.Director!$A:$A,"&lt;="&amp;AB$61,ADC.Director!$D:$D,"&lt;"&amp;0)+sumifs('000'!$D:$D,'000'!$B:$B,$D81,'000'!$A:$A,"&gt;="&amp;AB$60,'000'!$A:$A,"&lt;="&amp;AB$61,'000'!$D:$D,"&lt;"&amp;0)+sumifs('500'!$D:$D,'500'!$B:$B,$D81,'500'!$A:$A,"&gt;="&amp;AB$60,'500'!$A:$A,"&lt;="&amp;AB$61,'500'!$D:$D,"&lt;"&amp;0)+sumifs('300'!$D:$D,'300'!$B:$B,$D81,'300'!$A:$A,"&gt;="&amp;AB$60,'300'!$A:$A,"&lt;="&amp;AB$61,'300'!$D:$D,"&lt;"&amp;0)+sumifs('600.VPA'!$D:$D,'600.VPA'!$B:$B,$D81,'600.VPA'!$A:$A,"&gt;="&amp;AB$60,'600.VPA'!$A:$A,"&lt;="&amp;AB$61,'600.VPA'!$D:$D,"&lt;"&amp;0)</f>
        <v>0</v>
      </c>
      <c r="AC81" s="168">
        <f>sumifs(Boss!$D:$D,Boss!$B:$B,$D81,Boss!$A:$A,"&gt;="&amp;AC$60,Boss!$A:$A,"&lt;="&amp;AC$61,Boss!$D:$D,"&gt;"&amp;0)+sumifs(VPA.Director!$D:$D,VPA.Director!$B:$B,$D81,VPA.Director!$A:$A,"&gt;="&amp;AC$60,VPA.Director!$A:$A,"&lt;="&amp;AC$61,VPA.Director!$D:$D,"&gt;"&amp;0)+sumifs(ADC.Director!$D:$D,ADC.Director!$B:$B,$D81,ADC.Director!$A:$A,"&gt;="&amp;AC$60,ADC.Director!$A:$A,"&lt;="&amp;AC$61,ADC.Director!$D:$D,"&gt;"&amp;0)+sumifs('000'!$D:$D,'000'!$B:$B,$D81,'000'!$A:$A,"&gt;="&amp;AC$60,'000'!$A:$A,"&lt;="&amp;AC$61,'000'!$D:$D,"&gt;"&amp;0)+sumifs('500'!$D:$D,'500'!$B:$B,$D81,'500'!$A:$A,"&gt;="&amp;AC$60,'500'!$A:$A,"&lt;="&amp;AC$60,'500'!$D:$D,"&gt;"&amp;0)+sumifs('300'!$D:$D,'300'!$B:$B,$D81,'300'!$A:$A,"&gt;="&amp;AC$60,'300'!$A:$A,"&lt;="&amp;AC$61,'300'!$D:$D,"&gt;"&amp;0)+sumifs('600.VPA'!$D:$D,'600.VPA'!$B:$B,$D81,'600.VPA'!$A:$A,"&gt;="&amp;AC$60,'600.VPA'!$A:$A,"&lt;="&amp;AC$61,'600.VPA'!$D:$D,"&gt;"&amp;0)</f>
        <v>0</v>
      </c>
      <c r="AD81" s="167">
        <f>sumifs(Boss!$D:$D,Boss!$B:$B,$D81,Boss!$A:$A,"&gt;="&amp;AD$60,Boss!$A:$A,"&lt;="&amp;AD$61,Boss!$D:$D,"&lt;"&amp;0)+sumifs(VPA.Director!$D:$D,VPA.Director!$B:$B,$D81,VPA.Director!$A:$A,"&gt;="&amp;AD$60,VPA.Director!$A:$A,"&lt;="&amp;AD$61,VPA.Director!$D:$D,"&lt;"&amp;0)+sumifs(ADC.Director!$D:$D,ADC.Director!$B:$B,$D81,ADC.Director!$A:$A,"&gt;="&amp;AD$60,ADC.Director!$A:$A,"&lt;="&amp;AD$61,ADC.Director!$D:$D,"&lt;"&amp;0)+sumifs('000'!$D:$D,'000'!$B:$B,$D81,'000'!$A:$A,"&gt;="&amp;AD$60,'000'!$A:$A,"&lt;="&amp;AD$61,'000'!$D:$D,"&lt;"&amp;0)+sumifs('500'!$D:$D,'500'!$B:$B,$D81,'500'!$A:$A,"&gt;="&amp;AD$60,'500'!$A:$A,"&lt;="&amp;AD$61,'500'!$D:$D,"&lt;"&amp;0)+sumifs('300'!$D:$D,'300'!$B:$B,$D81,'300'!$A:$A,"&gt;="&amp;AD$60,'300'!$A:$A,"&lt;="&amp;AD$61,'300'!$D:$D,"&lt;"&amp;0)+sumifs('600.VPA'!$D:$D,'600.VPA'!$B:$B,$D81,'600.VPA'!$A:$A,"&gt;="&amp;AD$60,'600.VPA'!$A:$A,"&lt;="&amp;AD$61,'600.VPA'!$D:$D,"&lt;"&amp;0)</f>
        <v>0</v>
      </c>
      <c r="AE81" s="168">
        <f>sumifs(Boss!$D:$D,Boss!$B:$B,$D81,Boss!$A:$A,"&gt;="&amp;AE$60,Boss!$A:$A,"&lt;="&amp;AE$61,Boss!$D:$D,"&gt;"&amp;0)+sumifs(VPA.Director!$D:$D,VPA.Director!$B:$B,$D81,VPA.Director!$A:$A,"&gt;="&amp;AE$60,VPA.Director!$A:$A,"&lt;="&amp;AE$61,VPA.Director!$D:$D,"&gt;"&amp;0)+sumifs(ADC.Director!$D:$D,ADC.Director!$B:$B,$D81,ADC.Director!$A:$A,"&gt;="&amp;AE$60,ADC.Director!$A:$A,"&lt;="&amp;AE$61,ADC.Director!$D:$D,"&gt;"&amp;0)+sumifs('000'!$D:$D,'000'!$B:$B,$D81,'000'!$A:$A,"&gt;="&amp;AE$60,'000'!$A:$A,"&lt;="&amp;AE$61,'000'!$D:$D,"&gt;"&amp;0)+sumifs('500'!$D:$D,'500'!$B:$B,$D81,'500'!$A:$A,"&gt;="&amp;AE$60,'500'!$A:$A,"&lt;="&amp;AE$60,'500'!$D:$D,"&gt;"&amp;0)+sumifs('300'!$D:$D,'300'!$B:$B,$D81,'300'!$A:$A,"&gt;="&amp;AE$60,'300'!$A:$A,"&lt;="&amp;AE$61,'300'!$D:$D,"&gt;"&amp;0)+sumifs('600.VPA'!$D:$D,'600.VPA'!$B:$B,$D81,'600.VPA'!$A:$A,"&gt;="&amp;AE$60,'600.VPA'!$A:$A,"&lt;="&amp;AE$61,'600.VPA'!$D:$D,"&gt;"&amp;0)</f>
        <v>0</v>
      </c>
      <c r="AF81" s="167">
        <f>sumifs(Boss!$D:$D,Boss!$B:$B,$D81,Boss!$A:$A,"&gt;="&amp;AF$60,Boss!$A:$A,"&lt;="&amp;AF$61,Boss!$D:$D,"&lt;"&amp;0)+sumifs(VPA.Director!$D:$D,VPA.Director!$B:$B,$D81,VPA.Director!$A:$A,"&gt;="&amp;AF$60,VPA.Director!$A:$A,"&lt;="&amp;AF$61,VPA.Director!$D:$D,"&lt;"&amp;0)+sumifs(ADC.Director!$D:$D,ADC.Director!$B:$B,$D81,ADC.Director!$A:$A,"&gt;="&amp;AF$60,ADC.Director!$A:$A,"&lt;="&amp;AF$61,ADC.Director!$D:$D,"&lt;"&amp;0)+sumifs('000'!$D:$D,'000'!$B:$B,$D81,'000'!$A:$A,"&gt;="&amp;AF$60,'000'!$A:$A,"&lt;="&amp;AF$61,'000'!$D:$D,"&lt;"&amp;0)+sumifs('500'!$D:$D,'500'!$B:$B,$D81,'500'!$A:$A,"&gt;="&amp;AF$60,'500'!$A:$A,"&lt;="&amp;AF$61,'500'!$D:$D,"&lt;"&amp;0)+sumifs('300'!$D:$D,'300'!$B:$B,$D81,'300'!$A:$A,"&gt;="&amp;AF$60,'300'!$A:$A,"&lt;="&amp;AF$61,'300'!$D:$D,"&lt;"&amp;0)+sumifs('600.VPA'!$D:$D,'600.VPA'!$B:$B,$D81,'600.VPA'!$A:$A,"&gt;="&amp;AF$60,'600.VPA'!$A:$A,"&lt;="&amp;AF$61,'600.VPA'!$D:$D,"&lt;"&amp;0)</f>
        <v>0</v>
      </c>
      <c r="AG81" s="168">
        <f>sumifs(Boss!$D:$D,Boss!$B:$B,$D81,Boss!$A:$A,"&gt;="&amp;AG$60,Boss!$A:$A,"&lt;="&amp;AG$61,Boss!$D:$D,"&gt;"&amp;0)+sumifs(VPA.Director!$D:$D,VPA.Director!$B:$B,$D81,VPA.Director!$A:$A,"&gt;="&amp;AG$60,VPA.Director!$A:$A,"&lt;="&amp;AG$61,VPA.Director!$D:$D,"&gt;"&amp;0)+sumifs(ADC.Director!$D:$D,ADC.Director!$B:$B,$D81,ADC.Director!$A:$A,"&gt;="&amp;AG$60,ADC.Director!$A:$A,"&lt;="&amp;AG$61,ADC.Director!$D:$D,"&gt;"&amp;0)+sumifs('000'!$D:$D,'000'!$B:$B,$D81,'000'!$A:$A,"&gt;="&amp;AG$60,'000'!$A:$A,"&lt;="&amp;AG$61,'000'!$D:$D,"&gt;"&amp;0)+sumifs('500'!$D:$D,'500'!$B:$B,$D81,'500'!$A:$A,"&gt;="&amp;AG$60,'500'!$A:$A,"&lt;="&amp;AG$60,'500'!$D:$D,"&gt;"&amp;0)+sumifs('300'!$D:$D,'300'!$B:$B,$D81,'300'!$A:$A,"&gt;="&amp;AG$60,'300'!$A:$A,"&lt;="&amp;AG$61,'300'!$D:$D,"&gt;"&amp;0)+sumifs('600.VPA'!$D:$D,'600.VPA'!$B:$B,$D81,'600.VPA'!$A:$A,"&gt;="&amp;AG$60,'600.VPA'!$A:$A,"&lt;="&amp;AG$61,'600.VPA'!$D:$D,"&gt;"&amp;0)</f>
        <v>0</v>
      </c>
      <c r="AH81" s="169">
        <f t="shared" ref="AH81:AI81" si="19">sum(I81,K81,M81,O81,Q81,S81,V81,X81,Z81,AB81,AD81,AF81)</f>
        <v>0</v>
      </c>
      <c r="AI81" s="170">
        <f t="shared" si="19"/>
        <v>0</v>
      </c>
      <c r="AJ81" s="169">
        <f t="shared" si="4"/>
        <v>0</v>
      </c>
      <c r="AK81" s="89"/>
      <c r="AL81" s="89"/>
      <c r="AM81" s="89"/>
      <c r="AN81" s="89"/>
      <c r="AO81" s="89"/>
      <c r="AP81" s="89"/>
      <c r="AQ81" s="89"/>
      <c r="AR81" s="89"/>
      <c r="AS81" s="89"/>
      <c r="AT81" s="89"/>
      <c r="AU81" s="89"/>
    </row>
    <row r="82">
      <c r="A82" s="86"/>
      <c r="B82" s="163"/>
      <c r="D82" s="165" t="s">
        <v>109</v>
      </c>
      <c r="E82" s="166" t="s">
        <v>22</v>
      </c>
      <c r="F82" s="165" t="s">
        <v>156</v>
      </c>
      <c r="G82" s="165" t="s">
        <v>111</v>
      </c>
      <c r="H82" s="165" t="s">
        <v>108</v>
      </c>
      <c r="I82" s="167">
        <f>sumifs(Boss!$D:$D,Boss!$B:$B,$D82,Boss!$A:$A,"&gt;="&amp;I$60,Boss!$A:$A,"&lt;="&amp;I$61,Boss!$D:$D,"&lt;"&amp;0)+sumifs(VPA.Director!$D:$D,VPA.Director!$B:$B,$D82,VPA.Director!$A:$A,"&gt;="&amp;I$60,VPA.Director!$A:$A,"&lt;="&amp;I$61,VPA.Director!$D:$D,"&lt;"&amp;0)+sumifs(ADC.Director!$D:$D,ADC.Director!$B:$B,$D82,ADC.Director!$A:$A,"&gt;="&amp;I$60,ADC.Director!$A:$A,"&lt;="&amp;I$61,ADC.Director!$D:$D,"&lt;"&amp;0)+sumifs('000'!$D:$D,'000'!$B:$B,$D82,'000'!$A:$A,"&gt;="&amp;I$60,'000'!$A:$A,"&lt;="&amp;I$61,'000'!$D:$D,"&lt;"&amp;0)+sumifs('500'!$D:$D,'500'!$B:$B,$D82,'500'!$A:$A,"&gt;="&amp;I$60,'500'!$A:$A,"&lt;="&amp;I$61,'500'!$D:$D,"&lt;"&amp;0)+sumifs('300'!$D:$D,'300'!$B:$B,$D82,'300'!$A:$A,"&gt;="&amp;I$60,'300'!$A:$A,"&lt;="&amp;I$61,'300'!$D:$D,"&lt;"&amp;0)+sumifs('600.VPA'!$D:$D,'600.VPA'!$B:$B,$D82,'600.VPA'!$A:$A,"&gt;="&amp;I$60,'600.VPA'!$A:$A,"&lt;="&amp;I$61,'600.VPA'!$D:$D,"&lt;"&amp;0)</f>
        <v>0</v>
      </c>
      <c r="J82" s="168">
        <f>sumifs(Boss!$D:$D,Boss!$B:$B,$D82,Boss!$A:$A,"&gt;="&amp;J$60,Boss!$A:$A,"&lt;="&amp;J$61,Boss!$D:$D,"&gt;"&amp;0)+sumifs(VPA.Director!$D:$D,VPA.Director!$B:$B,$D82,VPA.Director!$A:$A,"&gt;="&amp;J$60,VPA.Director!$A:$A,"&lt;="&amp;J$61,VPA.Director!$D:$D,"&gt;"&amp;0)+sumifs(ADC.Director!$D:$D,ADC.Director!$B:$B,$D82,ADC.Director!$A:$A,"&gt;="&amp;J$60,ADC.Director!$A:$A,"&lt;="&amp;J$61,ADC.Director!$D:$D,"&gt;"&amp;0)+sumifs('000'!$D:$D,'000'!$B:$B,$D82,'000'!$A:$A,"&gt;="&amp;J$60,'000'!$A:$A,"&lt;="&amp;J$61,'000'!$D:$D,"&gt;"&amp;0)+sumifs('500'!$D:$D,'500'!$B:$B,$D82,'500'!$A:$A,"&gt;="&amp;J$60,'500'!$A:$A,"&lt;="&amp;J$60,'500'!$D:$D,"&gt;"&amp;0)+sumifs('300'!$D:$D,'300'!$B:$B,$D82,'300'!$A:$A,"&gt;="&amp;J$60,'300'!$A:$A,"&lt;="&amp;J$61,'300'!$D:$D,"&gt;"&amp;0)+sumifs('600.VPA'!$D:$D,'600.VPA'!$B:$B,$D82,'600.VPA'!$A:$A,"&gt;="&amp;J$60,'600.VPA'!$A:$A,"&lt;="&amp;J$61,'600.VPA'!$D:$D,"&gt;"&amp;0)</f>
        <v>0</v>
      </c>
      <c r="K82" s="167">
        <f>sumifs(Boss!$D:$D,Boss!$B:$B,$D82,Boss!$A:$A,"&gt;="&amp;K$60,Boss!$A:$A,"&lt;="&amp;K$61,Boss!$D:$D,"&lt;"&amp;0)+sumifs(VPA.Director!$D:$D,VPA.Director!$B:$B,$D82,VPA.Director!$A:$A,"&gt;="&amp;K$60,VPA.Director!$A:$A,"&lt;="&amp;K$61,VPA.Director!$D:$D,"&lt;"&amp;0)+sumifs(ADC.Director!$D:$D,ADC.Director!$B:$B,$D82,ADC.Director!$A:$A,"&gt;="&amp;K$60,ADC.Director!$A:$A,"&lt;="&amp;K$61,ADC.Director!$D:$D,"&lt;"&amp;0)+sumifs('000'!$D:$D,'000'!$B:$B,$D82,'000'!$A:$A,"&gt;="&amp;K$60,'000'!$A:$A,"&lt;="&amp;K$61,'000'!$D:$D,"&lt;"&amp;0)+sumifs('500'!$D:$D,'500'!$B:$B,$D82,'500'!$A:$A,"&gt;="&amp;K$60,'500'!$A:$A,"&lt;="&amp;K$61,'500'!$D:$D,"&lt;"&amp;0)+sumifs('300'!$D:$D,'300'!$B:$B,$D82,'300'!$A:$A,"&gt;="&amp;K$60,'300'!$A:$A,"&lt;="&amp;K$61,'300'!$D:$D,"&lt;"&amp;0)+sumifs('600.VPA'!$D:$D,'600.VPA'!$B:$B,$D82,'600.VPA'!$A:$A,"&gt;="&amp;K$60,'600.VPA'!$A:$A,"&lt;="&amp;K$61,'600.VPA'!$D:$D,"&lt;"&amp;0)</f>
        <v>0</v>
      </c>
      <c r="L82" s="168">
        <f>sumifs(Boss!$D:$D,Boss!$B:$B,$D82,Boss!$A:$A,"&gt;="&amp;L$60,Boss!$A:$A,"&lt;="&amp;L$61,Boss!$D:$D,"&gt;"&amp;0)+sumifs(VPA.Director!$D:$D,VPA.Director!$B:$B,$D82,VPA.Director!$A:$A,"&gt;="&amp;L$60,VPA.Director!$A:$A,"&lt;="&amp;L$61,VPA.Director!$D:$D,"&gt;"&amp;0)+sumifs(ADC.Director!$D:$D,ADC.Director!$B:$B,$D82,ADC.Director!$A:$A,"&gt;="&amp;L$60,ADC.Director!$A:$A,"&lt;="&amp;L$61,ADC.Director!$D:$D,"&gt;"&amp;0)+sumifs('000'!$D:$D,'000'!$B:$B,$D82,'000'!$A:$A,"&gt;="&amp;L$60,'000'!$A:$A,"&lt;="&amp;L$61,'000'!$D:$D,"&gt;"&amp;0)+sumifs('500'!$D:$D,'500'!$B:$B,$D82,'500'!$A:$A,"&gt;="&amp;L$60,'500'!$A:$A,"&lt;="&amp;L$60,'500'!$D:$D,"&gt;"&amp;0)+sumifs('300'!$D:$D,'300'!$B:$B,$D82,'300'!$A:$A,"&gt;="&amp;L$60,'300'!$A:$A,"&lt;="&amp;L$61,'300'!$D:$D,"&gt;"&amp;0)+sumifs('600.VPA'!$D:$D,'600.VPA'!$B:$B,$D82,'600.VPA'!$A:$A,"&gt;="&amp;L$60,'600.VPA'!$A:$A,"&lt;="&amp;L$61,'600.VPA'!$D:$D,"&gt;"&amp;0)</f>
        <v>0</v>
      </c>
      <c r="M82" s="171">
        <f>sumifs(Boss!$D:$D,Boss!$B:$B,$D82,Boss!$A:$A,"&gt;="&amp;M$60,Boss!$A:$A,"&lt;="&amp;M$61,Boss!$D:$D,"&lt;"&amp;0)+sumifs(VPA.Director!$D:$D,VPA.Director!$B:$B,$D82,VPA.Director!$A:$A,"&gt;="&amp;M$60,VPA.Director!$A:$A,"&lt;="&amp;M$61,VPA.Director!$D:$D,"&lt;"&amp;0)+sumifs(ADC.Director!$D:$D,ADC.Director!$B:$B,$D82,ADC.Director!$A:$A,"&gt;="&amp;M$60,ADC.Director!$A:$A,"&lt;="&amp;M$61,ADC.Director!$D:$D,"&lt;"&amp;0)+sumifs('000'!$D:$D,'000'!$B:$B,$D82,'000'!$A:$A,"&gt;="&amp;M$60,'000'!$A:$A,"&lt;="&amp;M$61,'000'!$D:$D,"&lt;"&amp;0)+sumifs('500'!$D:$D,'500'!$B:$B,$D82,'500'!$A:$A,"&gt;="&amp;M$60,'500'!$A:$A,"&lt;="&amp;M$61,'500'!$D:$D,"&lt;"&amp;0)+sumifs('300'!$D:$D,'300'!$B:$B,$D82,'300'!$A:$A,"&gt;="&amp;M$60,'300'!$A:$A,"&lt;="&amp;M$61,'300'!$D:$D,"&lt;"&amp;0)+sumifs('600.VPA'!$D:$D,'600.VPA'!$B:$B,$D82,'600.VPA'!$A:$A,"&gt;="&amp;M$60,'600.VPA'!$A:$A,"&lt;="&amp;M$61,'600.VPA'!$D:$D,"&lt;"&amp;0)</f>
        <v>0</v>
      </c>
      <c r="N82" s="168">
        <f>sumifs(Boss!$D:$D,Boss!$B:$B,$D82,Boss!$A:$A,"&gt;="&amp;N$60,Boss!$A:$A,"&lt;="&amp;N$61,Boss!$D:$D,"&gt;"&amp;0)+sumifs(VPA.Director!$D:$D,VPA.Director!$B:$B,$D82,VPA.Director!$A:$A,"&gt;="&amp;N$60,VPA.Director!$A:$A,"&lt;="&amp;N$61,VPA.Director!$D:$D,"&gt;"&amp;0)+sumifs(ADC.Director!$D:$D,ADC.Director!$B:$B,$D82,ADC.Director!$A:$A,"&gt;="&amp;N$60,ADC.Director!$A:$A,"&lt;="&amp;N$61,ADC.Director!$D:$D,"&gt;"&amp;0)+sumifs('000'!$D:$D,'000'!$B:$B,$D82,'000'!$A:$A,"&gt;="&amp;N$60,'000'!$A:$A,"&lt;="&amp;N$61,'000'!$D:$D,"&gt;"&amp;0)+sumifs('500'!$D:$D,'500'!$B:$B,$D82,'500'!$A:$A,"&gt;="&amp;N$60,'500'!$A:$A,"&lt;="&amp;N$60,'500'!$D:$D,"&gt;"&amp;0)+sumifs('300'!$D:$D,'300'!$B:$B,$D82,'300'!$A:$A,"&gt;="&amp;N$60,'300'!$A:$A,"&lt;="&amp;N$61,'300'!$D:$D,"&gt;"&amp;0)+sumifs('600.VPA'!$D:$D,'600.VPA'!$B:$B,$D82,'600.VPA'!$A:$A,"&gt;="&amp;N$60,'600.VPA'!$A:$A,"&lt;="&amp;N$61,'600.VPA'!$D:$D,"&gt;"&amp;0)</f>
        <v>0</v>
      </c>
      <c r="O82" s="167">
        <f>sumifs(Boss!$D:$D,Boss!$B:$B,$D82,Boss!$A:$A,"&gt;="&amp;O$60,Boss!$A:$A,"&lt;="&amp;O$61,Boss!$D:$D,"&lt;"&amp;0)+sumifs(VPA.Director!$D:$D,VPA.Director!$B:$B,$D82,VPA.Director!$A:$A,"&gt;="&amp;O$60,VPA.Director!$A:$A,"&lt;="&amp;O$61,VPA.Director!$D:$D,"&lt;"&amp;0)+sumifs(ADC.Director!$D:$D,ADC.Director!$B:$B,$D82,ADC.Director!$A:$A,"&gt;="&amp;O$60,ADC.Director!$A:$A,"&lt;="&amp;O$61,ADC.Director!$D:$D,"&lt;"&amp;0)+sumifs('000'!$D:$D,'000'!$B:$B,$D82,'000'!$A:$A,"&gt;="&amp;O$60,'000'!$A:$A,"&lt;="&amp;O$61,'000'!$D:$D,"&lt;"&amp;0)+sumifs('500'!$D:$D,'500'!$B:$B,$D82,'500'!$A:$A,"&gt;="&amp;O$60,'500'!$A:$A,"&lt;="&amp;O$61,'500'!$D:$D,"&lt;"&amp;0)+sumifs('300'!$D:$D,'300'!$B:$B,$D82,'300'!$A:$A,"&gt;="&amp;O$60,'300'!$A:$A,"&lt;="&amp;O$61,'300'!$D:$D,"&lt;"&amp;0)+sumifs('600.VPA'!$D:$D,'600.VPA'!$B:$B,$D82,'600.VPA'!$A:$A,"&gt;="&amp;O$60,'600.VPA'!$A:$A,"&lt;="&amp;O$61,'600.VPA'!$D:$D,"&lt;"&amp;0)</f>
        <v>0</v>
      </c>
      <c r="P82" s="168">
        <f>sumifs(Boss!$D:$D,Boss!$B:$B,$D82,Boss!$A:$A,"&gt;="&amp;P$60,Boss!$A:$A,"&lt;="&amp;P$61,Boss!$D:$D,"&gt;"&amp;0)+sumifs(VPA.Director!$D:$D,VPA.Director!$B:$B,$D82,VPA.Director!$A:$A,"&gt;="&amp;P$60,VPA.Director!$A:$A,"&lt;="&amp;P$61,VPA.Director!$D:$D,"&gt;"&amp;0)+sumifs(ADC.Director!$D:$D,ADC.Director!$B:$B,$D82,ADC.Director!$A:$A,"&gt;="&amp;P$60,ADC.Director!$A:$A,"&lt;="&amp;P$61,ADC.Director!$D:$D,"&gt;"&amp;0)+sumifs('000'!$D:$D,'000'!$B:$B,$D82,'000'!$A:$A,"&gt;="&amp;P$60,'000'!$A:$A,"&lt;="&amp;P$61,'000'!$D:$D,"&gt;"&amp;0)+sumifs('500'!$D:$D,'500'!$B:$B,$D82,'500'!$A:$A,"&gt;="&amp;P$60,'500'!$A:$A,"&lt;="&amp;P$60,'500'!$D:$D,"&gt;"&amp;0)+sumifs('300'!$D:$D,'300'!$B:$B,$D82,'300'!$A:$A,"&gt;="&amp;P$60,'300'!$A:$A,"&lt;="&amp;P$61,'300'!$D:$D,"&gt;"&amp;0)+sumifs('600.VPA'!$D:$D,'600.VPA'!$B:$B,$D82,'600.VPA'!$A:$A,"&gt;="&amp;P$60,'600.VPA'!$A:$A,"&lt;="&amp;P$61,'600.VPA'!$D:$D,"&gt;"&amp;0)</f>
        <v>0</v>
      </c>
      <c r="Q82" s="167">
        <f>sumifs(Boss!$D:$D,Boss!$B:$B,$D82,Boss!$A:$A,"&gt;="&amp;Q$60,Boss!$A:$A,"&lt;="&amp;Q$61,Boss!$D:$D,"&lt;"&amp;0)+sumifs(VPA.Director!$D:$D,VPA.Director!$B:$B,$D82,VPA.Director!$A:$A,"&gt;="&amp;Q$60,VPA.Director!$A:$A,"&lt;="&amp;Q$61,VPA.Director!$D:$D,"&lt;"&amp;0)+sumifs(ADC.Director!$D:$D,ADC.Director!$B:$B,$D82,ADC.Director!$A:$A,"&gt;="&amp;Q$60,ADC.Director!$A:$A,"&lt;="&amp;Q$61,ADC.Director!$D:$D,"&lt;"&amp;0)+sumifs('000'!$D:$D,'000'!$B:$B,$D82,'000'!$A:$A,"&gt;="&amp;Q$60,'000'!$A:$A,"&lt;="&amp;Q$61,'000'!$D:$D,"&lt;"&amp;0)+sumifs('500'!$D:$D,'500'!$B:$B,$D82,'500'!$A:$A,"&gt;="&amp;Q$60,'500'!$A:$A,"&lt;="&amp;Q$61,'500'!$D:$D,"&lt;"&amp;0)+sumifs('300'!$D:$D,'300'!$B:$B,$D82,'300'!$A:$A,"&gt;="&amp;Q$60,'300'!$A:$A,"&lt;="&amp;Q$61,'300'!$D:$D,"&lt;"&amp;0)+sumifs('600.VPA'!$D:$D,'600.VPA'!$B:$B,$D82,'600.VPA'!$A:$A,"&gt;="&amp;Q$60,'600.VPA'!$A:$A,"&lt;="&amp;Q$61,'600.VPA'!$D:$D,"&lt;"&amp;0)</f>
        <v>0</v>
      </c>
      <c r="R82" s="168">
        <f>sumifs(Boss!$D:$D,Boss!$B:$B,$D82,Boss!$A:$A,"&gt;="&amp;R$60,Boss!$A:$A,"&lt;="&amp;R$61,Boss!$D:$D,"&gt;"&amp;0)+sumifs(VPA.Director!$D:$D,VPA.Director!$B:$B,$D82,VPA.Director!$A:$A,"&gt;="&amp;R$60,VPA.Director!$A:$A,"&lt;="&amp;R$61,VPA.Director!$D:$D,"&gt;"&amp;0)+sumifs(ADC.Director!$D:$D,ADC.Director!$B:$B,$D82,ADC.Director!$A:$A,"&gt;="&amp;R$60,ADC.Director!$A:$A,"&lt;="&amp;R$61,ADC.Director!$D:$D,"&gt;"&amp;0)+sumifs('000'!$D:$D,'000'!$B:$B,$D82,'000'!$A:$A,"&gt;="&amp;R$60,'000'!$A:$A,"&lt;="&amp;R$61,'000'!$D:$D,"&gt;"&amp;0)+sumifs('500'!$D:$D,'500'!$B:$B,$D82,'500'!$A:$A,"&gt;="&amp;R$60,'500'!$A:$A,"&lt;="&amp;R$60,'500'!$D:$D,"&gt;"&amp;0)+sumifs('300'!$D:$D,'300'!$B:$B,$D82,'300'!$A:$A,"&gt;="&amp;R$60,'300'!$A:$A,"&lt;="&amp;R$61,'300'!$D:$D,"&gt;"&amp;0)+sumifs('600.VPA'!$D:$D,'600.VPA'!$B:$B,$D82,'600.VPA'!$A:$A,"&gt;="&amp;R$60,'600.VPA'!$A:$A,"&lt;="&amp;R$61,'600.VPA'!$D:$D,"&gt;"&amp;0)</f>
        <v>0</v>
      </c>
      <c r="S82" s="167">
        <f>sumifs(Boss!$D:$D,Boss!$B:$B,$D82,Boss!$A:$A,"&gt;="&amp;S$60,Boss!$A:$A,"&lt;="&amp;S$61,Boss!$D:$D,"&lt;"&amp;0)+sumifs(VPA.Director!$D:$D,VPA.Director!$B:$B,$D82,VPA.Director!$A:$A,"&gt;="&amp;S$60,VPA.Director!$A:$A,"&lt;="&amp;S$61,VPA.Director!$D:$D,"&lt;"&amp;0)+sumifs(ADC.Director!$D:$D,ADC.Director!$B:$B,$D82,ADC.Director!$A:$A,"&gt;="&amp;S$60,ADC.Director!$A:$A,"&lt;="&amp;S$61,ADC.Director!$D:$D,"&lt;"&amp;0)+sumifs('000'!$D:$D,'000'!$B:$B,$D82,'000'!$A:$A,"&gt;="&amp;S$60,'000'!$A:$A,"&lt;="&amp;S$61,'000'!$D:$D,"&lt;"&amp;0)+sumifs('500'!$D:$D,'500'!$B:$B,$D82,'500'!$A:$A,"&gt;="&amp;S$60,'500'!$A:$A,"&lt;="&amp;S$61,'500'!$D:$D,"&lt;"&amp;0)+sumifs('300'!$D:$D,'300'!$B:$B,$D82,'300'!$A:$A,"&gt;="&amp;S$60,'300'!$A:$A,"&lt;="&amp;S$61,'300'!$D:$D,"&lt;"&amp;0)+sumifs('600.VPA'!$D:$D,'600.VPA'!$B:$B,$D82,'600.VPA'!$A:$A,"&gt;="&amp;S$60,'600.VPA'!$A:$A,"&lt;="&amp;S$61,'600.VPA'!$D:$D,"&lt;"&amp;0)</f>
        <v>0</v>
      </c>
      <c r="T82" s="168">
        <f>sumifs(Boss!$D:$D,Boss!$B:$B,$D82,Boss!$A:$A,"&gt;="&amp;T$60,Boss!$A:$A,"&lt;="&amp;T$61,Boss!$D:$D,"&gt;"&amp;0)+sumifs(VPA.Director!$D:$D,VPA.Director!$B:$B,$D82,VPA.Director!$A:$A,"&gt;="&amp;T$60,VPA.Director!$A:$A,"&lt;="&amp;T$61,VPA.Director!$D:$D,"&gt;"&amp;0)+sumifs(ADC.Director!$D:$D,ADC.Director!$B:$B,$D82,ADC.Director!$A:$A,"&gt;="&amp;T$60,ADC.Director!$A:$A,"&lt;="&amp;T$61,ADC.Director!$D:$D,"&gt;"&amp;0)+sumifs('000'!$D:$D,'000'!$B:$B,$D82,'000'!$A:$A,"&gt;="&amp;T$60,'000'!$A:$A,"&lt;="&amp;T$61,'000'!$D:$D,"&gt;"&amp;0)+sumifs('500'!$D:$D,'500'!$B:$B,$D82,'500'!$A:$A,"&gt;="&amp;T$60,'500'!$A:$A,"&lt;="&amp;T$60,'500'!$D:$D,"&gt;"&amp;0)+sumifs('300'!$D:$D,'300'!$B:$B,$D82,'300'!$A:$A,"&gt;="&amp;T$60,'300'!$A:$A,"&lt;="&amp;T$61,'300'!$D:$D,"&gt;"&amp;0)+sumifs('600.VPA'!$D:$D,'600.VPA'!$B:$B,$D82,'600.VPA'!$A:$A,"&gt;="&amp;T$60,'600.VPA'!$A:$A,"&lt;="&amp;T$61,'600.VPA'!$D:$D,"&gt;"&amp;0)</f>
        <v>0</v>
      </c>
      <c r="U82" s="163"/>
      <c r="V82" s="167">
        <f>sumifs(Boss!$D:$D,Boss!$B:$B,$D82,Boss!$A:$A,"&gt;="&amp;V$60,Boss!$A:$A,"&lt;="&amp;V$61,Boss!$D:$D,"&lt;"&amp;0)+sumifs(VPA.Director!$D:$D,VPA.Director!$B:$B,$D82,VPA.Director!$A:$A,"&gt;="&amp;V$60,VPA.Director!$A:$A,"&lt;="&amp;V$61,VPA.Director!$D:$D,"&lt;"&amp;0)+sumifs(ADC.Director!$D:$D,ADC.Director!$B:$B,$D82,ADC.Director!$A:$A,"&gt;="&amp;V$60,ADC.Director!$A:$A,"&lt;="&amp;V$61,ADC.Director!$D:$D,"&lt;"&amp;0)+sumifs('000'!$D:$D,'000'!$B:$B,$D82,'000'!$A:$A,"&gt;="&amp;V$60,'000'!$A:$A,"&lt;="&amp;V$61,'000'!$D:$D,"&lt;"&amp;0)+sumifs('500'!$D:$D,'500'!$B:$B,$D82,'500'!$A:$A,"&gt;="&amp;V$60,'500'!$A:$A,"&lt;="&amp;V$61,'500'!$D:$D,"&lt;"&amp;0)+sumifs('300'!$D:$D,'300'!$B:$B,$D82,'300'!$A:$A,"&gt;="&amp;V$60,'300'!$A:$A,"&lt;="&amp;V$61,'300'!$D:$D,"&lt;"&amp;0)+sumifs('600.VPA'!$D:$D,'600.VPA'!$B:$B,$D82,'600.VPA'!$A:$A,"&gt;="&amp;V$60,'600.VPA'!$A:$A,"&lt;="&amp;V$61,'600.VPA'!$D:$D,"&lt;"&amp;0)</f>
        <v>0</v>
      </c>
      <c r="W82" s="168">
        <f>sumifs(Boss!$D:$D,Boss!$B:$B,$D82,Boss!$A:$A,"&gt;="&amp;W$60,Boss!$A:$A,"&lt;="&amp;W$61,Boss!$D:$D,"&gt;"&amp;0)+sumifs(VPA.Director!$D:$D,VPA.Director!$B:$B,$D82,VPA.Director!$A:$A,"&gt;="&amp;W$60,VPA.Director!$A:$A,"&lt;="&amp;W$61,VPA.Director!$D:$D,"&gt;"&amp;0)+sumifs(ADC.Director!$D:$D,ADC.Director!$B:$B,$D82,ADC.Director!$A:$A,"&gt;="&amp;W$60,ADC.Director!$A:$A,"&lt;="&amp;W$61,ADC.Director!$D:$D,"&gt;"&amp;0)+sumifs('000'!$D:$D,'000'!$B:$B,$D82,'000'!$A:$A,"&gt;="&amp;W$60,'000'!$A:$A,"&lt;="&amp;W$61,'000'!$D:$D,"&gt;"&amp;0)+sumifs('500'!$D:$D,'500'!$B:$B,$D82,'500'!$A:$A,"&gt;="&amp;W$60,'500'!$A:$A,"&lt;="&amp;W$60,'500'!$D:$D,"&gt;"&amp;0)+sumifs('300'!$D:$D,'300'!$B:$B,$D82,'300'!$A:$A,"&gt;="&amp;W$60,'300'!$A:$A,"&lt;="&amp;W$61,'300'!$D:$D,"&gt;"&amp;0)+sumifs('600.VPA'!$D:$D,'600.VPA'!$B:$B,$D82,'600.VPA'!$A:$A,"&gt;="&amp;W$60,'600.VPA'!$A:$A,"&lt;="&amp;W$61,'600.VPA'!$D:$D,"&gt;"&amp;0)</f>
        <v>0</v>
      </c>
      <c r="X82" s="167">
        <f>sumifs(Boss!$D:$D,Boss!$B:$B,$D82,Boss!$A:$A,"&gt;="&amp;X$60,Boss!$A:$A,"&lt;="&amp;X$61,Boss!$D:$D,"&lt;"&amp;0)+sumifs(VPA.Director!$D:$D,VPA.Director!$B:$B,$D82,VPA.Director!$A:$A,"&gt;="&amp;X$60,VPA.Director!$A:$A,"&lt;="&amp;X$61,VPA.Director!$D:$D,"&lt;"&amp;0)+sumifs(ADC.Director!$D:$D,ADC.Director!$B:$B,$D82,ADC.Director!$A:$A,"&gt;="&amp;X$60,ADC.Director!$A:$A,"&lt;="&amp;X$61,ADC.Director!$D:$D,"&lt;"&amp;0)+sumifs('000'!$D:$D,'000'!$B:$B,$D82,'000'!$A:$A,"&gt;="&amp;X$60,'000'!$A:$A,"&lt;="&amp;X$61,'000'!$D:$D,"&lt;"&amp;0)+sumifs('500'!$D:$D,'500'!$B:$B,$D82,'500'!$A:$A,"&gt;="&amp;X$60,'500'!$A:$A,"&lt;="&amp;X$61,'500'!$D:$D,"&lt;"&amp;0)+sumifs('300'!$D:$D,'300'!$B:$B,$D82,'300'!$A:$A,"&gt;="&amp;X$60,'300'!$A:$A,"&lt;="&amp;X$61,'300'!$D:$D,"&lt;"&amp;0)+sumifs('600.VPA'!$D:$D,'600.VPA'!$B:$B,$D82,'600.VPA'!$A:$A,"&gt;="&amp;X$60,'600.VPA'!$A:$A,"&lt;="&amp;X$61,'600.VPA'!$D:$D,"&lt;"&amp;0)</f>
        <v>0</v>
      </c>
      <c r="Y82" s="168">
        <f>sumifs(Boss!$D:$D,Boss!$B:$B,$D82,Boss!$A:$A,"&gt;="&amp;Y$60,Boss!$A:$A,"&lt;="&amp;Y$61,Boss!$D:$D,"&gt;"&amp;0)+sumifs(VPA.Director!$D:$D,VPA.Director!$B:$B,$D82,VPA.Director!$A:$A,"&gt;="&amp;Y$60,VPA.Director!$A:$A,"&lt;="&amp;Y$61,VPA.Director!$D:$D,"&gt;"&amp;0)+sumifs(ADC.Director!$D:$D,ADC.Director!$B:$B,$D82,ADC.Director!$A:$A,"&gt;="&amp;Y$60,ADC.Director!$A:$A,"&lt;="&amp;Y$61,ADC.Director!$D:$D,"&gt;"&amp;0)+sumifs('000'!$D:$D,'000'!$B:$B,$D82,'000'!$A:$A,"&gt;="&amp;Y$60,'000'!$A:$A,"&lt;="&amp;Y$61,'000'!$D:$D,"&gt;"&amp;0)+sumifs('500'!$D:$D,'500'!$B:$B,$D82,'500'!$A:$A,"&gt;="&amp;Y$60,'500'!$A:$A,"&lt;="&amp;Y$60,'500'!$D:$D,"&gt;"&amp;0)+sumifs('300'!$D:$D,'300'!$B:$B,$D82,'300'!$A:$A,"&gt;="&amp;Y$60,'300'!$A:$A,"&lt;="&amp;Y$61,'300'!$D:$D,"&gt;"&amp;0)+sumifs('600.VPA'!$D:$D,'600.VPA'!$B:$B,$D82,'600.VPA'!$A:$A,"&gt;="&amp;Y$60,'600.VPA'!$A:$A,"&lt;="&amp;Y$61,'600.VPA'!$D:$D,"&gt;"&amp;0)</f>
        <v>0</v>
      </c>
      <c r="Z82" s="167">
        <f>sumifs(Boss!$D:$D,Boss!$B:$B,$D82,Boss!$A:$A,"&gt;="&amp;Z$60,Boss!$A:$A,"&lt;="&amp;Z$61,Boss!$D:$D,"&lt;"&amp;0)+sumifs(VPA.Director!$D:$D,VPA.Director!$B:$B,$D82,VPA.Director!$A:$A,"&gt;="&amp;Z$60,VPA.Director!$A:$A,"&lt;="&amp;Z$61,VPA.Director!$D:$D,"&lt;"&amp;0)+sumifs(ADC.Director!$D:$D,ADC.Director!$B:$B,$D82,ADC.Director!$A:$A,"&gt;="&amp;Z$60,ADC.Director!$A:$A,"&lt;="&amp;Z$61,ADC.Director!$D:$D,"&lt;"&amp;0)+sumifs('000'!$D:$D,'000'!$B:$B,$D82,'000'!$A:$A,"&gt;="&amp;Z$60,'000'!$A:$A,"&lt;="&amp;Z$61,'000'!$D:$D,"&lt;"&amp;0)+sumifs('500'!$D:$D,'500'!$B:$B,$D82,'500'!$A:$A,"&gt;="&amp;Z$60,'500'!$A:$A,"&lt;="&amp;Z$61,'500'!$D:$D,"&lt;"&amp;0)+sumifs('300'!$D:$D,'300'!$B:$B,$D82,'300'!$A:$A,"&gt;="&amp;Z$60,'300'!$A:$A,"&lt;="&amp;Z$61,'300'!$D:$D,"&lt;"&amp;0)+sumifs('600.VPA'!$D:$D,'600.VPA'!$B:$B,$D82,'600.VPA'!$A:$A,"&gt;="&amp;Z$60,'600.VPA'!$A:$A,"&lt;="&amp;Z$61,'600.VPA'!$D:$D,"&lt;"&amp;0)</f>
        <v>0</v>
      </c>
      <c r="AA82" s="168">
        <f>sumifs(Boss!$D:$D,Boss!$B:$B,$D82,Boss!$A:$A,"&gt;="&amp;AA$60,Boss!$A:$A,"&lt;="&amp;AA$61,Boss!$D:$D,"&gt;"&amp;0)+sumifs(VPA.Director!$D:$D,VPA.Director!$B:$B,$D82,VPA.Director!$A:$A,"&gt;="&amp;AA$60,VPA.Director!$A:$A,"&lt;="&amp;AA$61,VPA.Director!$D:$D,"&gt;"&amp;0)+sumifs(ADC.Director!$D:$D,ADC.Director!$B:$B,$D82,ADC.Director!$A:$A,"&gt;="&amp;AA$60,ADC.Director!$A:$A,"&lt;="&amp;AA$61,ADC.Director!$D:$D,"&gt;"&amp;0)+sumifs('000'!$D:$D,'000'!$B:$B,$D82,'000'!$A:$A,"&gt;="&amp;AA$60,'000'!$A:$A,"&lt;="&amp;AA$61,'000'!$D:$D,"&gt;"&amp;0)+sumifs('500'!$D:$D,'500'!$B:$B,$D82,'500'!$A:$A,"&gt;="&amp;AA$60,'500'!$A:$A,"&lt;="&amp;AA$60,'500'!$D:$D,"&gt;"&amp;0)+sumifs('300'!$D:$D,'300'!$B:$B,$D82,'300'!$A:$A,"&gt;="&amp;AA$60,'300'!$A:$A,"&lt;="&amp;AA$61,'300'!$D:$D,"&gt;"&amp;0)+sumifs('600.VPA'!$D:$D,'600.VPA'!$B:$B,$D82,'600.VPA'!$A:$A,"&gt;="&amp;AA$60,'600.VPA'!$A:$A,"&lt;="&amp;AA$61,'600.VPA'!$D:$D,"&gt;"&amp;0)</f>
        <v>0</v>
      </c>
      <c r="AB82" s="167">
        <f>sumifs(Boss!$D:$D,Boss!$B:$B,$D82,Boss!$A:$A,"&gt;="&amp;AB$60,Boss!$A:$A,"&lt;="&amp;AB$61,Boss!$D:$D,"&lt;"&amp;0)+sumifs(VPA.Director!$D:$D,VPA.Director!$B:$B,$D82,VPA.Director!$A:$A,"&gt;="&amp;AB$60,VPA.Director!$A:$A,"&lt;="&amp;AB$61,VPA.Director!$D:$D,"&lt;"&amp;0)+sumifs(ADC.Director!$D:$D,ADC.Director!$B:$B,$D82,ADC.Director!$A:$A,"&gt;="&amp;AB$60,ADC.Director!$A:$A,"&lt;="&amp;AB$61,ADC.Director!$D:$D,"&lt;"&amp;0)+sumifs('000'!$D:$D,'000'!$B:$B,$D82,'000'!$A:$A,"&gt;="&amp;AB$60,'000'!$A:$A,"&lt;="&amp;AB$61,'000'!$D:$D,"&lt;"&amp;0)+sumifs('500'!$D:$D,'500'!$B:$B,$D82,'500'!$A:$A,"&gt;="&amp;AB$60,'500'!$A:$A,"&lt;="&amp;AB$61,'500'!$D:$D,"&lt;"&amp;0)+sumifs('300'!$D:$D,'300'!$B:$B,$D82,'300'!$A:$A,"&gt;="&amp;AB$60,'300'!$A:$A,"&lt;="&amp;AB$61,'300'!$D:$D,"&lt;"&amp;0)+sumifs('600.VPA'!$D:$D,'600.VPA'!$B:$B,$D82,'600.VPA'!$A:$A,"&gt;="&amp;AB$60,'600.VPA'!$A:$A,"&lt;="&amp;AB$61,'600.VPA'!$D:$D,"&lt;"&amp;0)</f>
        <v>0</v>
      </c>
      <c r="AC82" s="168">
        <f>sumifs(Boss!$D:$D,Boss!$B:$B,$D82,Boss!$A:$A,"&gt;="&amp;AC$60,Boss!$A:$A,"&lt;="&amp;AC$61,Boss!$D:$D,"&gt;"&amp;0)+sumifs(VPA.Director!$D:$D,VPA.Director!$B:$B,$D82,VPA.Director!$A:$A,"&gt;="&amp;AC$60,VPA.Director!$A:$A,"&lt;="&amp;AC$61,VPA.Director!$D:$D,"&gt;"&amp;0)+sumifs(ADC.Director!$D:$D,ADC.Director!$B:$B,$D82,ADC.Director!$A:$A,"&gt;="&amp;AC$60,ADC.Director!$A:$A,"&lt;="&amp;AC$61,ADC.Director!$D:$D,"&gt;"&amp;0)+sumifs('000'!$D:$D,'000'!$B:$B,$D82,'000'!$A:$A,"&gt;="&amp;AC$60,'000'!$A:$A,"&lt;="&amp;AC$61,'000'!$D:$D,"&gt;"&amp;0)+sumifs('500'!$D:$D,'500'!$B:$B,$D82,'500'!$A:$A,"&gt;="&amp;AC$60,'500'!$A:$A,"&lt;="&amp;AC$60,'500'!$D:$D,"&gt;"&amp;0)+sumifs('300'!$D:$D,'300'!$B:$B,$D82,'300'!$A:$A,"&gt;="&amp;AC$60,'300'!$A:$A,"&lt;="&amp;AC$61,'300'!$D:$D,"&gt;"&amp;0)+sumifs('600.VPA'!$D:$D,'600.VPA'!$B:$B,$D82,'600.VPA'!$A:$A,"&gt;="&amp;AC$60,'600.VPA'!$A:$A,"&lt;="&amp;AC$61,'600.VPA'!$D:$D,"&gt;"&amp;0)</f>
        <v>0</v>
      </c>
      <c r="AD82" s="167">
        <f>sumifs(Boss!$D:$D,Boss!$B:$B,$D82,Boss!$A:$A,"&gt;="&amp;AD$60,Boss!$A:$A,"&lt;="&amp;AD$61,Boss!$D:$D,"&lt;"&amp;0)+sumifs(VPA.Director!$D:$D,VPA.Director!$B:$B,$D82,VPA.Director!$A:$A,"&gt;="&amp;AD$60,VPA.Director!$A:$A,"&lt;="&amp;AD$61,VPA.Director!$D:$D,"&lt;"&amp;0)+sumifs(ADC.Director!$D:$D,ADC.Director!$B:$B,$D82,ADC.Director!$A:$A,"&gt;="&amp;AD$60,ADC.Director!$A:$A,"&lt;="&amp;AD$61,ADC.Director!$D:$D,"&lt;"&amp;0)+sumifs('000'!$D:$D,'000'!$B:$B,$D82,'000'!$A:$A,"&gt;="&amp;AD$60,'000'!$A:$A,"&lt;="&amp;AD$61,'000'!$D:$D,"&lt;"&amp;0)+sumifs('500'!$D:$D,'500'!$B:$B,$D82,'500'!$A:$A,"&gt;="&amp;AD$60,'500'!$A:$A,"&lt;="&amp;AD$61,'500'!$D:$D,"&lt;"&amp;0)+sumifs('300'!$D:$D,'300'!$B:$B,$D82,'300'!$A:$A,"&gt;="&amp;AD$60,'300'!$A:$A,"&lt;="&amp;AD$61,'300'!$D:$D,"&lt;"&amp;0)+sumifs('600.VPA'!$D:$D,'600.VPA'!$B:$B,$D82,'600.VPA'!$A:$A,"&gt;="&amp;AD$60,'600.VPA'!$A:$A,"&lt;="&amp;AD$61,'600.VPA'!$D:$D,"&lt;"&amp;0)</f>
        <v>0</v>
      </c>
      <c r="AE82" s="168">
        <f>sumifs(Boss!$D:$D,Boss!$B:$B,$D82,Boss!$A:$A,"&gt;="&amp;AE$60,Boss!$A:$A,"&lt;="&amp;AE$61,Boss!$D:$D,"&gt;"&amp;0)+sumifs(VPA.Director!$D:$D,VPA.Director!$B:$B,$D82,VPA.Director!$A:$A,"&gt;="&amp;AE$60,VPA.Director!$A:$A,"&lt;="&amp;AE$61,VPA.Director!$D:$D,"&gt;"&amp;0)+sumifs(ADC.Director!$D:$D,ADC.Director!$B:$B,$D82,ADC.Director!$A:$A,"&gt;="&amp;AE$60,ADC.Director!$A:$A,"&lt;="&amp;AE$61,ADC.Director!$D:$D,"&gt;"&amp;0)+sumifs('000'!$D:$D,'000'!$B:$B,$D82,'000'!$A:$A,"&gt;="&amp;AE$60,'000'!$A:$A,"&lt;="&amp;AE$61,'000'!$D:$D,"&gt;"&amp;0)+sumifs('500'!$D:$D,'500'!$B:$B,$D82,'500'!$A:$A,"&gt;="&amp;AE$60,'500'!$A:$A,"&lt;="&amp;AE$60,'500'!$D:$D,"&gt;"&amp;0)+sumifs('300'!$D:$D,'300'!$B:$B,$D82,'300'!$A:$A,"&gt;="&amp;AE$60,'300'!$A:$A,"&lt;="&amp;AE$61,'300'!$D:$D,"&gt;"&amp;0)+sumifs('600.VPA'!$D:$D,'600.VPA'!$B:$B,$D82,'600.VPA'!$A:$A,"&gt;="&amp;AE$60,'600.VPA'!$A:$A,"&lt;="&amp;AE$61,'600.VPA'!$D:$D,"&gt;"&amp;0)</f>
        <v>0</v>
      </c>
      <c r="AF82" s="167">
        <f>sumifs(Boss!$D:$D,Boss!$B:$B,$D82,Boss!$A:$A,"&gt;="&amp;AF$60,Boss!$A:$A,"&lt;="&amp;AF$61,Boss!$D:$D,"&lt;"&amp;0)+sumifs(VPA.Director!$D:$D,VPA.Director!$B:$B,$D82,VPA.Director!$A:$A,"&gt;="&amp;AF$60,VPA.Director!$A:$A,"&lt;="&amp;AF$61,VPA.Director!$D:$D,"&lt;"&amp;0)+sumifs(ADC.Director!$D:$D,ADC.Director!$B:$B,$D82,ADC.Director!$A:$A,"&gt;="&amp;AF$60,ADC.Director!$A:$A,"&lt;="&amp;AF$61,ADC.Director!$D:$D,"&lt;"&amp;0)+sumifs('000'!$D:$D,'000'!$B:$B,$D82,'000'!$A:$A,"&gt;="&amp;AF$60,'000'!$A:$A,"&lt;="&amp;AF$61,'000'!$D:$D,"&lt;"&amp;0)+sumifs('500'!$D:$D,'500'!$B:$B,$D82,'500'!$A:$A,"&gt;="&amp;AF$60,'500'!$A:$A,"&lt;="&amp;AF$61,'500'!$D:$D,"&lt;"&amp;0)+sumifs('300'!$D:$D,'300'!$B:$B,$D82,'300'!$A:$A,"&gt;="&amp;AF$60,'300'!$A:$A,"&lt;="&amp;AF$61,'300'!$D:$D,"&lt;"&amp;0)+sumifs('600.VPA'!$D:$D,'600.VPA'!$B:$B,$D82,'600.VPA'!$A:$A,"&gt;="&amp;AF$60,'600.VPA'!$A:$A,"&lt;="&amp;AF$61,'600.VPA'!$D:$D,"&lt;"&amp;0)</f>
        <v>0</v>
      </c>
      <c r="AG82" s="168">
        <f>sumifs(Boss!$D:$D,Boss!$B:$B,$D82,Boss!$A:$A,"&gt;="&amp;AG$60,Boss!$A:$A,"&lt;="&amp;AG$61,Boss!$D:$D,"&gt;"&amp;0)+sumifs(VPA.Director!$D:$D,VPA.Director!$B:$B,$D82,VPA.Director!$A:$A,"&gt;="&amp;AG$60,VPA.Director!$A:$A,"&lt;="&amp;AG$61,VPA.Director!$D:$D,"&gt;"&amp;0)+sumifs(ADC.Director!$D:$D,ADC.Director!$B:$B,$D82,ADC.Director!$A:$A,"&gt;="&amp;AG$60,ADC.Director!$A:$A,"&lt;="&amp;AG$61,ADC.Director!$D:$D,"&gt;"&amp;0)+sumifs('000'!$D:$D,'000'!$B:$B,$D82,'000'!$A:$A,"&gt;="&amp;AG$60,'000'!$A:$A,"&lt;="&amp;AG$61,'000'!$D:$D,"&gt;"&amp;0)+sumifs('500'!$D:$D,'500'!$B:$B,$D82,'500'!$A:$A,"&gt;="&amp;AG$60,'500'!$A:$A,"&lt;="&amp;AG$60,'500'!$D:$D,"&gt;"&amp;0)+sumifs('300'!$D:$D,'300'!$B:$B,$D82,'300'!$A:$A,"&gt;="&amp;AG$60,'300'!$A:$A,"&lt;="&amp;AG$61,'300'!$D:$D,"&gt;"&amp;0)+sumifs('600.VPA'!$D:$D,'600.VPA'!$B:$B,$D82,'600.VPA'!$A:$A,"&gt;="&amp;AG$60,'600.VPA'!$A:$A,"&lt;="&amp;AG$61,'600.VPA'!$D:$D,"&gt;"&amp;0)</f>
        <v>0</v>
      </c>
      <c r="AH82" s="169">
        <f t="shared" ref="AH82:AI82" si="20">sum(I82,K82,M82,O82,Q82,S82,V82,X82,Z82,AB82,AD82,AF82)</f>
        <v>0</v>
      </c>
      <c r="AI82" s="170">
        <f t="shared" si="20"/>
        <v>0</v>
      </c>
      <c r="AJ82" s="169">
        <f t="shared" si="4"/>
        <v>0</v>
      </c>
      <c r="AK82" s="89"/>
      <c r="AL82" s="89"/>
      <c r="AM82" s="89"/>
      <c r="AN82" s="89"/>
      <c r="AO82" s="89"/>
      <c r="AP82" s="89"/>
      <c r="AQ82" s="89"/>
      <c r="AR82" s="89"/>
      <c r="AS82" s="89"/>
      <c r="AT82" s="89"/>
      <c r="AU82" s="89"/>
    </row>
    <row r="83">
      <c r="A83" s="86"/>
      <c r="B83" s="163"/>
      <c r="D83" s="165" t="s">
        <v>112</v>
      </c>
      <c r="E83" s="166" t="s">
        <v>23</v>
      </c>
      <c r="F83" s="165" t="s">
        <v>157</v>
      </c>
      <c r="G83" s="165" t="s">
        <v>114</v>
      </c>
      <c r="H83" s="165" t="s">
        <v>158</v>
      </c>
      <c r="I83" s="167">
        <f>sumifs(Boss!$D:$D,Boss!$B:$B,$D83,Boss!$A:$A,"&gt;="&amp;I$60,Boss!$A:$A,"&lt;="&amp;I$61,Boss!$D:$D,"&lt;"&amp;0)+sumifs(VPA.Director!$D:$D,VPA.Director!$B:$B,$D83,VPA.Director!$A:$A,"&gt;="&amp;I$60,VPA.Director!$A:$A,"&lt;="&amp;I$61,VPA.Director!$D:$D,"&lt;"&amp;0)+sumifs(ADC.Director!$D:$D,ADC.Director!$B:$B,$D83,ADC.Director!$A:$A,"&gt;="&amp;I$60,ADC.Director!$A:$A,"&lt;="&amp;I$61,ADC.Director!$D:$D,"&lt;"&amp;0)+sumifs('000'!$D:$D,'000'!$B:$B,$D83,'000'!$A:$A,"&gt;="&amp;I$60,'000'!$A:$A,"&lt;="&amp;I$61,'000'!$D:$D,"&lt;"&amp;0)+sumifs('500'!$D:$D,'500'!$B:$B,$D83,'500'!$A:$A,"&gt;="&amp;I$60,'500'!$A:$A,"&lt;="&amp;I$61,'500'!$D:$D,"&lt;"&amp;0)+sumifs('300'!$D:$D,'300'!$B:$B,$D83,'300'!$A:$A,"&gt;="&amp;I$60,'300'!$A:$A,"&lt;="&amp;I$61,'300'!$D:$D,"&lt;"&amp;0)+sumifs('600.VPA'!$D:$D,'600.VPA'!$B:$B,$D83,'600.VPA'!$A:$A,"&gt;="&amp;I$60,'600.VPA'!$A:$A,"&lt;="&amp;I$61,'600.VPA'!$D:$D,"&lt;"&amp;0)</f>
        <v>0</v>
      </c>
      <c r="J83" s="168">
        <f>sumifs(Boss!$D:$D,Boss!$B:$B,$D83,Boss!$A:$A,"&gt;="&amp;J$60,Boss!$A:$A,"&lt;="&amp;J$61,Boss!$D:$D,"&gt;"&amp;0)+sumifs(VPA.Director!$D:$D,VPA.Director!$B:$B,$D83,VPA.Director!$A:$A,"&gt;="&amp;J$60,VPA.Director!$A:$A,"&lt;="&amp;J$61,VPA.Director!$D:$D,"&gt;"&amp;0)+sumifs(ADC.Director!$D:$D,ADC.Director!$B:$B,$D83,ADC.Director!$A:$A,"&gt;="&amp;J$60,ADC.Director!$A:$A,"&lt;="&amp;J$61,ADC.Director!$D:$D,"&gt;"&amp;0)+sumifs('000'!$D:$D,'000'!$B:$B,$D83,'000'!$A:$A,"&gt;="&amp;J$60,'000'!$A:$A,"&lt;="&amp;J$61,'000'!$D:$D,"&gt;"&amp;0)+sumifs('500'!$D:$D,'500'!$B:$B,$D83,'500'!$A:$A,"&gt;="&amp;J$60,'500'!$A:$A,"&lt;="&amp;J$60,'500'!$D:$D,"&gt;"&amp;0)+sumifs('300'!$D:$D,'300'!$B:$B,$D83,'300'!$A:$A,"&gt;="&amp;J$60,'300'!$A:$A,"&lt;="&amp;J$61,'300'!$D:$D,"&gt;"&amp;0)+sumifs('600.VPA'!$D:$D,'600.VPA'!$B:$B,$D83,'600.VPA'!$A:$A,"&gt;="&amp;J$60,'600.VPA'!$A:$A,"&lt;="&amp;J$61,'600.VPA'!$D:$D,"&gt;"&amp;0)</f>
        <v>0</v>
      </c>
      <c r="K83" s="167">
        <f>sumifs(Boss!$D:$D,Boss!$B:$B,$D83,Boss!$A:$A,"&gt;="&amp;K$60,Boss!$A:$A,"&lt;="&amp;K$61,Boss!$D:$D,"&lt;"&amp;0)+sumifs(VPA.Director!$D:$D,VPA.Director!$B:$B,$D83,VPA.Director!$A:$A,"&gt;="&amp;K$60,VPA.Director!$A:$A,"&lt;="&amp;K$61,VPA.Director!$D:$D,"&lt;"&amp;0)+sumifs(ADC.Director!$D:$D,ADC.Director!$B:$B,$D83,ADC.Director!$A:$A,"&gt;="&amp;K$60,ADC.Director!$A:$A,"&lt;="&amp;K$61,ADC.Director!$D:$D,"&lt;"&amp;0)+sumifs('000'!$D:$D,'000'!$B:$B,$D83,'000'!$A:$A,"&gt;="&amp;K$60,'000'!$A:$A,"&lt;="&amp;K$61,'000'!$D:$D,"&lt;"&amp;0)+sumifs('500'!$D:$D,'500'!$B:$B,$D83,'500'!$A:$A,"&gt;="&amp;K$60,'500'!$A:$A,"&lt;="&amp;K$61,'500'!$D:$D,"&lt;"&amp;0)+sumifs('300'!$D:$D,'300'!$B:$B,$D83,'300'!$A:$A,"&gt;="&amp;K$60,'300'!$A:$A,"&lt;="&amp;K$61,'300'!$D:$D,"&lt;"&amp;0)+sumifs('600.VPA'!$D:$D,'600.VPA'!$B:$B,$D83,'600.VPA'!$A:$A,"&gt;="&amp;K$60,'600.VPA'!$A:$A,"&lt;="&amp;K$61,'600.VPA'!$D:$D,"&lt;"&amp;0)</f>
        <v>0</v>
      </c>
      <c r="L83" s="168">
        <f>sumifs(Boss!$D:$D,Boss!$B:$B,$D83,Boss!$A:$A,"&gt;="&amp;L$60,Boss!$A:$A,"&lt;="&amp;L$61,Boss!$D:$D,"&gt;"&amp;0)+sumifs(VPA.Director!$D:$D,VPA.Director!$B:$B,$D83,VPA.Director!$A:$A,"&gt;="&amp;L$60,VPA.Director!$A:$A,"&lt;="&amp;L$61,VPA.Director!$D:$D,"&gt;"&amp;0)+sumifs(ADC.Director!$D:$D,ADC.Director!$B:$B,$D83,ADC.Director!$A:$A,"&gt;="&amp;L$60,ADC.Director!$A:$A,"&lt;="&amp;L$61,ADC.Director!$D:$D,"&gt;"&amp;0)+sumifs('000'!$D:$D,'000'!$B:$B,$D83,'000'!$A:$A,"&gt;="&amp;L$60,'000'!$A:$A,"&lt;="&amp;L$61,'000'!$D:$D,"&gt;"&amp;0)+sumifs('500'!$D:$D,'500'!$B:$B,$D83,'500'!$A:$A,"&gt;="&amp;L$60,'500'!$A:$A,"&lt;="&amp;L$60,'500'!$D:$D,"&gt;"&amp;0)+sumifs('300'!$D:$D,'300'!$B:$B,$D83,'300'!$A:$A,"&gt;="&amp;L$60,'300'!$A:$A,"&lt;="&amp;L$61,'300'!$D:$D,"&gt;"&amp;0)+sumifs('600.VPA'!$D:$D,'600.VPA'!$B:$B,$D83,'600.VPA'!$A:$A,"&gt;="&amp;L$60,'600.VPA'!$A:$A,"&lt;="&amp;L$61,'600.VPA'!$D:$D,"&gt;"&amp;0)</f>
        <v>0</v>
      </c>
      <c r="M83" s="167">
        <f>sumifs(Boss!$D:$D,Boss!$B:$B,$D83,Boss!$A:$A,"&gt;="&amp;M$60,Boss!$A:$A,"&lt;="&amp;M$61,Boss!$D:$D,"&lt;"&amp;0)+sumifs(VPA.Director!$D:$D,VPA.Director!$B:$B,$D83,VPA.Director!$A:$A,"&gt;="&amp;M$60,VPA.Director!$A:$A,"&lt;="&amp;M$61,VPA.Director!$D:$D,"&lt;"&amp;0)+sumifs(ADC.Director!$D:$D,ADC.Director!$B:$B,$D83,ADC.Director!$A:$A,"&gt;="&amp;M$60,ADC.Director!$A:$A,"&lt;="&amp;M$61,ADC.Director!$D:$D,"&lt;"&amp;0)+sumifs('000'!$D:$D,'000'!$B:$B,$D83,'000'!$A:$A,"&gt;="&amp;M$60,'000'!$A:$A,"&lt;="&amp;M$61,'000'!$D:$D,"&lt;"&amp;0)+sumifs('500'!$D:$D,'500'!$B:$B,$D83,'500'!$A:$A,"&gt;="&amp;M$60,'500'!$A:$A,"&lt;="&amp;M$61,'500'!$D:$D,"&lt;"&amp;0)+sumifs('300'!$D:$D,'300'!$B:$B,$D83,'300'!$A:$A,"&gt;="&amp;M$60,'300'!$A:$A,"&lt;="&amp;M$61,'300'!$D:$D,"&lt;"&amp;0)+sumifs('600.VPA'!$D:$D,'600.VPA'!$B:$B,$D83,'600.VPA'!$A:$A,"&gt;="&amp;M$60,'600.VPA'!$A:$A,"&lt;="&amp;M$61,'600.VPA'!$D:$D,"&lt;"&amp;0)</f>
        <v>0</v>
      </c>
      <c r="N83" s="168">
        <f>sumifs(Boss!$D:$D,Boss!$B:$B,$D83,Boss!$A:$A,"&gt;="&amp;N$60,Boss!$A:$A,"&lt;="&amp;N$61,Boss!$D:$D,"&gt;"&amp;0)+sumifs(VPA.Director!$D:$D,VPA.Director!$B:$B,$D83,VPA.Director!$A:$A,"&gt;="&amp;N$60,VPA.Director!$A:$A,"&lt;="&amp;N$61,VPA.Director!$D:$D,"&gt;"&amp;0)+sumifs(ADC.Director!$D:$D,ADC.Director!$B:$B,$D83,ADC.Director!$A:$A,"&gt;="&amp;N$60,ADC.Director!$A:$A,"&lt;="&amp;N$61,ADC.Director!$D:$D,"&gt;"&amp;0)+sumifs('000'!$D:$D,'000'!$B:$B,$D83,'000'!$A:$A,"&gt;="&amp;N$60,'000'!$A:$A,"&lt;="&amp;N$61,'000'!$D:$D,"&gt;"&amp;0)+sumifs('500'!$D:$D,'500'!$B:$B,$D83,'500'!$A:$A,"&gt;="&amp;N$60,'500'!$A:$A,"&lt;="&amp;N$60,'500'!$D:$D,"&gt;"&amp;0)+sumifs('300'!$D:$D,'300'!$B:$B,$D83,'300'!$A:$A,"&gt;="&amp;N$60,'300'!$A:$A,"&lt;="&amp;N$61,'300'!$D:$D,"&gt;"&amp;0)+sumifs('600.VPA'!$D:$D,'600.VPA'!$B:$B,$D83,'600.VPA'!$A:$A,"&gt;="&amp;N$60,'600.VPA'!$A:$A,"&lt;="&amp;N$61,'600.VPA'!$D:$D,"&gt;"&amp;0)</f>
        <v>0</v>
      </c>
      <c r="O83" s="167">
        <f>sumifs(Boss!$D:$D,Boss!$B:$B,$D83,Boss!$A:$A,"&gt;="&amp;O$60,Boss!$A:$A,"&lt;="&amp;O$61,Boss!$D:$D,"&lt;"&amp;0)+sumifs(VPA.Director!$D:$D,VPA.Director!$B:$B,$D83,VPA.Director!$A:$A,"&gt;="&amp;O$60,VPA.Director!$A:$A,"&lt;="&amp;O$61,VPA.Director!$D:$D,"&lt;"&amp;0)+sumifs(ADC.Director!$D:$D,ADC.Director!$B:$B,$D83,ADC.Director!$A:$A,"&gt;="&amp;O$60,ADC.Director!$A:$A,"&lt;="&amp;O$61,ADC.Director!$D:$D,"&lt;"&amp;0)+sumifs('000'!$D:$D,'000'!$B:$B,$D83,'000'!$A:$A,"&gt;="&amp;O$60,'000'!$A:$A,"&lt;="&amp;O$61,'000'!$D:$D,"&lt;"&amp;0)+sumifs('500'!$D:$D,'500'!$B:$B,$D83,'500'!$A:$A,"&gt;="&amp;O$60,'500'!$A:$A,"&lt;="&amp;O$61,'500'!$D:$D,"&lt;"&amp;0)+sumifs('300'!$D:$D,'300'!$B:$B,$D83,'300'!$A:$A,"&gt;="&amp;O$60,'300'!$A:$A,"&lt;="&amp;O$61,'300'!$D:$D,"&lt;"&amp;0)+sumifs('600.VPA'!$D:$D,'600.VPA'!$B:$B,$D83,'600.VPA'!$A:$A,"&gt;="&amp;O$60,'600.VPA'!$A:$A,"&lt;="&amp;O$61,'600.VPA'!$D:$D,"&lt;"&amp;0)</f>
        <v>0</v>
      </c>
      <c r="P83" s="168">
        <f>sumifs(Boss!$D:$D,Boss!$B:$B,$D83,Boss!$A:$A,"&gt;="&amp;P$60,Boss!$A:$A,"&lt;="&amp;P$61,Boss!$D:$D,"&gt;"&amp;0)+sumifs(VPA.Director!$D:$D,VPA.Director!$B:$B,$D83,VPA.Director!$A:$A,"&gt;="&amp;P$60,VPA.Director!$A:$A,"&lt;="&amp;P$61,VPA.Director!$D:$D,"&gt;"&amp;0)+sumifs(ADC.Director!$D:$D,ADC.Director!$B:$B,$D83,ADC.Director!$A:$A,"&gt;="&amp;P$60,ADC.Director!$A:$A,"&lt;="&amp;P$61,ADC.Director!$D:$D,"&gt;"&amp;0)+sumifs('000'!$D:$D,'000'!$B:$B,$D83,'000'!$A:$A,"&gt;="&amp;P$60,'000'!$A:$A,"&lt;="&amp;P$61,'000'!$D:$D,"&gt;"&amp;0)+sumifs('500'!$D:$D,'500'!$B:$B,$D83,'500'!$A:$A,"&gt;="&amp;P$60,'500'!$A:$A,"&lt;="&amp;P$60,'500'!$D:$D,"&gt;"&amp;0)+sumifs('300'!$D:$D,'300'!$B:$B,$D83,'300'!$A:$A,"&gt;="&amp;P$60,'300'!$A:$A,"&lt;="&amp;P$61,'300'!$D:$D,"&gt;"&amp;0)+sumifs('600.VPA'!$D:$D,'600.VPA'!$B:$B,$D83,'600.VPA'!$A:$A,"&gt;="&amp;P$60,'600.VPA'!$A:$A,"&lt;="&amp;P$61,'600.VPA'!$D:$D,"&gt;"&amp;0)</f>
        <v>0</v>
      </c>
      <c r="Q83" s="167">
        <f>sumifs(Boss!$D:$D,Boss!$B:$B,$D83,Boss!$A:$A,"&gt;="&amp;Q$60,Boss!$A:$A,"&lt;="&amp;Q$61,Boss!$D:$D,"&lt;"&amp;0)+sumifs(VPA.Director!$D:$D,VPA.Director!$B:$B,$D83,VPA.Director!$A:$A,"&gt;="&amp;Q$60,VPA.Director!$A:$A,"&lt;="&amp;Q$61,VPA.Director!$D:$D,"&lt;"&amp;0)+sumifs(ADC.Director!$D:$D,ADC.Director!$B:$B,$D83,ADC.Director!$A:$A,"&gt;="&amp;Q$60,ADC.Director!$A:$A,"&lt;="&amp;Q$61,ADC.Director!$D:$D,"&lt;"&amp;0)+sumifs('000'!$D:$D,'000'!$B:$B,$D83,'000'!$A:$A,"&gt;="&amp;Q$60,'000'!$A:$A,"&lt;="&amp;Q$61,'000'!$D:$D,"&lt;"&amp;0)+sumifs('500'!$D:$D,'500'!$B:$B,$D83,'500'!$A:$A,"&gt;="&amp;Q$60,'500'!$A:$A,"&lt;="&amp;Q$61,'500'!$D:$D,"&lt;"&amp;0)+sumifs('300'!$D:$D,'300'!$B:$B,$D83,'300'!$A:$A,"&gt;="&amp;Q$60,'300'!$A:$A,"&lt;="&amp;Q$61,'300'!$D:$D,"&lt;"&amp;0)+sumifs('600.VPA'!$D:$D,'600.VPA'!$B:$B,$D83,'600.VPA'!$A:$A,"&gt;="&amp;Q$60,'600.VPA'!$A:$A,"&lt;="&amp;Q$61,'600.VPA'!$D:$D,"&lt;"&amp;0)</f>
        <v>0</v>
      </c>
      <c r="R83" s="168">
        <f>sumifs(Boss!$D:$D,Boss!$B:$B,$D83,Boss!$A:$A,"&gt;="&amp;R$60,Boss!$A:$A,"&lt;="&amp;R$61,Boss!$D:$D,"&gt;"&amp;0)+sumifs(VPA.Director!$D:$D,VPA.Director!$B:$B,$D83,VPA.Director!$A:$A,"&gt;="&amp;R$60,VPA.Director!$A:$A,"&lt;="&amp;R$61,VPA.Director!$D:$D,"&gt;"&amp;0)+sumifs(ADC.Director!$D:$D,ADC.Director!$B:$B,$D83,ADC.Director!$A:$A,"&gt;="&amp;R$60,ADC.Director!$A:$A,"&lt;="&amp;R$61,ADC.Director!$D:$D,"&gt;"&amp;0)+sumifs('000'!$D:$D,'000'!$B:$B,$D83,'000'!$A:$A,"&gt;="&amp;R$60,'000'!$A:$A,"&lt;="&amp;R$61,'000'!$D:$D,"&gt;"&amp;0)+sumifs('500'!$D:$D,'500'!$B:$B,$D83,'500'!$A:$A,"&gt;="&amp;R$60,'500'!$A:$A,"&lt;="&amp;R$60,'500'!$D:$D,"&gt;"&amp;0)+sumifs('300'!$D:$D,'300'!$B:$B,$D83,'300'!$A:$A,"&gt;="&amp;R$60,'300'!$A:$A,"&lt;="&amp;R$61,'300'!$D:$D,"&gt;"&amp;0)+sumifs('600.VPA'!$D:$D,'600.VPA'!$B:$B,$D83,'600.VPA'!$A:$A,"&gt;="&amp;R$60,'600.VPA'!$A:$A,"&lt;="&amp;R$61,'600.VPA'!$D:$D,"&gt;"&amp;0)</f>
        <v>0</v>
      </c>
      <c r="S83" s="167">
        <f>sumifs(Boss!$D:$D,Boss!$B:$B,$D83,Boss!$A:$A,"&gt;="&amp;S$60,Boss!$A:$A,"&lt;="&amp;S$61,Boss!$D:$D,"&lt;"&amp;0)+sumifs(VPA.Director!$D:$D,VPA.Director!$B:$B,$D83,VPA.Director!$A:$A,"&gt;="&amp;S$60,VPA.Director!$A:$A,"&lt;="&amp;S$61,VPA.Director!$D:$D,"&lt;"&amp;0)+sumifs(ADC.Director!$D:$D,ADC.Director!$B:$B,$D83,ADC.Director!$A:$A,"&gt;="&amp;S$60,ADC.Director!$A:$A,"&lt;="&amp;S$61,ADC.Director!$D:$D,"&lt;"&amp;0)+sumifs('000'!$D:$D,'000'!$B:$B,$D83,'000'!$A:$A,"&gt;="&amp;S$60,'000'!$A:$A,"&lt;="&amp;S$61,'000'!$D:$D,"&lt;"&amp;0)+sumifs('500'!$D:$D,'500'!$B:$B,$D83,'500'!$A:$A,"&gt;="&amp;S$60,'500'!$A:$A,"&lt;="&amp;S$61,'500'!$D:$D,"&lt;"&amp;0)+sumifs('300'!$D:$D,'300'!$B:$B,$D83,'300'!$A:$A,"&gt;="&amp;S$60,'300'!$A:$A,"&lt;="&amp;S$61,'300'!$D:$D,"&lt;"&amp;0)+sumifs('600.VPA'!$D:$D,'600.VPA'!$B:$B,$D83,'600.VPA'!$A:$A,"&gt;="&amp;S$60,'600.VPA'!$A:$A,"&lt;="&amp;S$61,'600.VPA'!$D:$D,"&lt;"&amp;0)</f>
        <v>0</v>
      </c>
      <c r="T83" s="168">
        <f>sumifs(Boss!$D:$D,Boss!$B:$B,$D83,Boss!$A:$A,"&gt;="&amp;T$60,Boss!$A:$A,"&lt;="&amp;T$61,Boss!$D:$D,"&gt;"&amp;0)+sumifs(VPA.Director!$D:$D,VPA.Director!$B:$B,$D83,VPA.Director!$A:$A,"&gt;="&amp;T$60,VPA.Director!$A:$A,"&lt;="&amp;T$61,VPA.Director!$D:$D,"&gt;"&amp;0)+sumifs(ADC.Director!$D:$D,ADC.Director!$B:$B,$D83,ADC.Director!$A:$A,"&gt;="&amp;T$60,ADC.Director!$A:$A,"&lt;="&amp;T$61,ADC.Director!$D:$D,"&gt;"&amp;0)+sumifs('000'!$D:$D,'000'!$B:$B,$D83,'000'!$A:$A,"&gt;="&amp;T$60,'000'!$A:$A,"&lt;="&amp;T$61,'000'!$D:$D,"&gt;"&amp;0)+sumifs('500'!$D:$D,'500'!$B:$B,$D83,'500'!$A:$A,"&gt;="&amp;T$60,'500'!$A:$A,"&lt;="&amp;T$60,'500'!$D:$D,"&gt;"&amp;0)+sumifs('300'!$D:$D,'300'!$B:$B,$D83,'300'!$A:$A,"&gt;="&amp;T$60,'300'!$A:$A,"&lt;="&amp;T$61,'300'!$D:$D,"&gt;"&amp;0)+sumifs('600.VPA'!$D:$D,'600.VPA'!$B:$B,$D83,'600.VPA'!$A:$A,"&gt;="&amp;T$60,'600.VPA'!$A:$A,"&lt;="&amp;T$61,'600.VPA'!$D:$D,"&gt;"&amp;0)</f>
        <v>0</v>
      </c>
      <c r="U83" s="163"/>
      <c r="V83" s="167">
        <f>sumifs(Boss!$D:$D,Boss!$B:$B,$D83,Boss!$A:$A,"&gt;="&amp;V$60,Boss!$A:$A,"&lt;="&amp;V$61,Boss!$D:$D,"&lt;"&amp;0)+sumifs(VPA.Director!$D:$D,VPA.Director!$B:$B,$D83,VPA.Director!$A:$A,"&gt;="&amp;V$60,VPA.Director!$A:$A,"&lt;="&amp;V$61,VPA.Director!$D:$D,"&lt;"&amp;0)+sumifs(ADC.Director!$D:$D,ADC.Director!$B:$B,$D83,ADC.Director!$A:$A,"&gt;="&amp;V$60,ADC.Director!$A:$A,"&lt;="&amp;V$61,ADC.Director!$D:$D,"&lt;"&amp;0)+sumifs('000'!$D:$D,'000'!$B:$B,$D83,'000'!$A:$A,"&gt;="&amp;V$60,'000'!$A:$A,"&lt;="&amp;V$61,'000'!$D:$D,"&lt;"&amp;0)+sumifs('500'!$D:$D,'500'!$B:$B,$D83,'500'!$A:$A,"&gt;="&amp;V$60,'500'!$A:$A,"&lt;="&amp;V$61,'500'!$D:$D,"&lt;"&amp;0)+sumifs('300'!$D:$D,'300'!$B:$B,$D83,'300'!$A:$A,"&gt;="&amp;V$60,'300'!$A:$A,"&lt;="&amp;V$61,'300'!$D:$D,"&lt;"&amp;0)+sumifs('600.VPA'!$D:$D,'600.VPA'!$B:$B,$D83,'600.VPA'!$A:$A,"&gt;="&amp;V$60,'600.VPA'!$A:$A,"&lt;="&amp;V$61,'600.VPA'!$D:$D,"&lt;"&amp;0)</f>
        <v>0</v>
      </c>
      <c r="W83" s="168">
        <f>sumifs(Boss!$D:$D,Boss!$B:$B,$D83,Boss!$A:$A,"&gt;="&amp;W$60,Boss!$A:$A,"&lt;="&amp;W$61,Boss!$D:$D,"&gt;"&amp;0)+sumifs(VPA.Director!$D:$D,VPA.Director!$B:$B,$D83,VPA.Director!$A:$A,"&gt;="&amp;W$60,VPA.Director!$A:$A,"&lt;="&amp;W$61,VPA.Director!$D:$D,"&gt;"&amp;0)+sumifs(ADC.Director!$D:$D,ADC.Director!$B:$B,$D83,ADC.Director!$A:$A,"&gt;="&amp;W$60,ADC.Director!$A:$A,"&lt;="&amp;W$61,ADC.Director!$D:$D,"&gt;"&amp;0)+sumifs('000'!$D:$D,'000'!$B:$B,$D83,'000'!$A:$A,"&gt;="&amp;W$60,'000'!$A:$A,"&lt;="&amp;W$61,'000'!$D:$D,"&gt;"&amp;0)+sumifs('500'!$D:$D,'500'!$B:$B,$D83,'500'!$A:$A,"&gt;="&amp;W$60,'500'!$A:$A,"&lt;="&amp;W$60,'500'!$D:$D,"&gt;"&amp;0)+sumifs('300'!$D:$D,'300'!$B:$B,$D83,'300'!$A:$A,"&gt;="&amp;W$60,'300'!$A:$A,"&lt;="&amp;W$61,'300'!$D:$D,"&gt;"&amp;0)+sumifs('600.VPA'!$D:$D,'600.VPA'!$B:$B,$D83,'600.VPA'!$A:$A,"&gt;="&amp;W$60,'600.VPA'!$A:$A,"&lt;="&amp;W$61,'600.VPA'!$D:$D,"&gt;"&amp;0)</f>
        <v>0</v>
      </c>
      <c r="X83" s="167">
        <f>sumifs(Boss!$D:$D,Boss!$B:$B,$D83,Boss!$A:$A,"&gt;="&amp;X$60,Boss!$A:$A,"&lt;="&amp;X$61,Boss!$D:$D,"&lt;"&amp;0)+sumifs(VPA.Director!$D:$D,VPA.Director!$B:$B,$D83,VPA.Director!$A:$A,"&gt;="&amp;X$60,VPA.Director!$A:$A,"&lt;="&amp;X$61,VPA.Director!$D:$D,"&lt;"&amp;0)+sumifs(ADC.Director!$D:$D,ADC.Director!$B:$B,$D83,ADC.Director!$A:$A,"&gt;="&amp;X$60,ADC.Director!$A:$A,"&lt;="&amp;X$61,ADC.Director!$D:$D,"&lt;"&amp;0)+sumifs('000'!$D:$D,'000'!$B:$B,$D83,'000'!$A:$A,"&gt;="&amp;X$60,'000'!$A:$A,"&lt;="&amp;X$61,'000'!$D:$D,"&lt;"&amp;0)+sumifs('500'!$D:$D,'500'!$B:$B,$D83,'500'!$A:$A,"&gt;="&amp;X$60,'500'!$A:$A,"&lt;="&amp;X$61,'500'!$D:$D,"&lt;"&amp;0)+sumifs('300'!$D:$D,'300'!$B:$B,$D83,'300'!$A:$A,"&gt;="&amp;X$60,'300'!$A:$A,"&lt;="&amp;X$61,'300'!$D:$D,"&lt;"&amp;0)+sumifs('600.VPA'!$D:$D,'600.VPA'!$B:$B,$D83,'600.VPA'!$A:$A,"&gt;="&amp;X$60,'600.VPA'!$A:$A,"&lt;="&amp;X$61,'600.VPA'!$D:$D,"&lt;"&amp;0)</f>
        <v>0</v>
      </c>
      <c r="Y83" s="168">
        <f>sumifs(Boss!$D:$D,Boss!$B:$B,$D83,Boss!$A:$A,"&gt;="&amp;Y$60,Boss!$A:$A,"&lt;="&amp;Y$61,Boss!$D:$D,"&gt;"&amp;0)+sumifs(VPA.Director!$D:$D,VPA.Director!$B:$B,$D83,VPA.Director!$A:$A,"&gt;="&amp;Y$60,VPA.Director!$A:$A,"&lt;="&amp;Y$61,VPA.Director!$D:$D,"&gt;"&amp;0)+sumifs(ADC.Director!$D:$D,ADC.Director!$B:$B,$D83,ADC.Director!$A:$A,"&gt;="&amp;Y$60,ADC.Director!$A:$A,"&lt;="&amp;Y$61,ADC.Director!$D:$D,"&gt;"&amp;0)+sumifs('000'!$D:$D,'000'!$B:$B,$D83,'000'!$A:$A,"&gt;="&amp;Y$60,'000'!$A:$A,"&lt;="&amp;Y$61,'000'!$D:$D,"&gt;"&amp;0)+sumifs('500'!$D:$D,'500'!$B:$B,$D83,'500'!$A:$A,"&gt;="&amp;Y$60,'500'!$A:$A,"&lt;="&amp;Y$60,'500'!$D:$D,"&gt;"&amp;0)+sumifs('300'!$D:$D,'300'!$B:$B,$D83,'300'!$A:$A,"&gt;="&amp;Y$60,'300'!$A:$A,"&lt;="&amp;Y$61,'300'!$D:$D,"&gt;"&amp;0)+sumifs('600.VPA'!$D:$D,'600.VPA'!$B:$B,$D83,'600.VPA'!$A:$A,"&gt;="&amp;Y$60,'600.VPA'!$A:$A,"&lt;="&amp;Y$61,'600.VPA'!$D:$D,"&gt;"&amp;0)</f>
        <v>0</v>
      </c>
      <c r="Z83" s="167">
        <f>sumifs(Boss!$D:$D,Boss!$B:$B,$D83,Boss!$A:$A,"&gt;="&amp;Z$60,Boss!$A:$A,"&lt;="&amp;Z$61,Boss!$D:$D,"&lt;"&amp;0)+sumifs(VPA.Director!$D:$D,VPA.Director!$B:$B,$D83,VPA.Director!$A:$A,"&gt;="&amp;Z$60,VPA.Director!$A:$A,"&lt;="&amp;Z$61,VPA.Director!$D:$D,"&lt;"&amp;0)+sumifs(ADC.Director!$D:$D,ADC.Director!$B:$B,$D83,ADC.Director!$A:$A,"&gt;="&amp;Z$60,ADC.Director!$A:$A,"&lt;="&amp;Z$61,ADC.Director!$D:$D,"&lt;"&amp;0)+sumifs('000'!$D:$D,'000'!$B:$B,$D83,'000'!$A:$A,"&gt;="&amp;Z$60,'000'!$A:$A,"&lt;="&amp;Z$61,'000'!$D:$D,"&lt;"&amp;0)+sumifs('500'!$D:$D,'500'!$B:$B,$D83,'500'!$A:$A,"&gt;="&amp;Z$60,'500'!$A:$A,"&lt;="&amp;Z$61,'500'!$D:$D,"&lt;"&amp;0)+sumifs('300'!$D:$D,'300'!$B:$B,$D83,'300'!$A:$A,"&gt;="&amp;Z$60,'300'!$A:$A,"&lt;="&amp;Z$61,'300'!$D:$D,"&lt;"&amp;0)+sumifs('600.VPA'!$D:$D,'600.VPA'!$B:$B,$D83,'600.VPA'!$A:$A,"&gt;="&amp;Z$60,'600.VPA'!$A:$A,"&lt;="&amp;Z$61,'600.VPA'!$D:$D,"&lt;"&amp;0)</f>
        <v>0</v>
      </c>
      <c r="AA83" s="168">
        <f>sumifs(Boss!$D:$D,Boss!$B:$B,$D83,Boss!$A:$A,"&gt;="&amp;AA$60,Boss!$A:$A,"&lt;="&amp;AA$61,Boss!$D:$D,"&gt;"&amp;0)+sumifs(VPA.Director!$D:$D,VPA.Director!$B:$B,$D83,VPA.Director!$A:$A,"&gt;="&amp;AA$60,VPA.Director!$A:$A,"&lt;="&amp;AA$61,VPA.Director!$D:$D,"&gt;"&amp;0)+sumifs(ADC.Director!$D:$D,ADC.Director!$B:$B,$D83,ADC.Director!$A:$A,"&gt;="&amp;AA$60,ADC.Director!$A:$A,"&lt;="&amp;AA$61,ADC.Director!$D:$D,"&gt;"&amp;0)+sumifs('000'!$D:$D,'000'!$B:$B,$D83,'000'!$A:$A,"&gt;="&amp;AA$60,'000'!$A:$A,"&lt;="&amp;AA$61,'000'!$D:$D,"&gt;"&amp;0)+sumifs('500'!$D:$D,'500'!$B:$B,$D83,'500'!$A:$A,"&gt;="&amp;AA$60,'500'!$A:$A,"&lt;="&amp;AA$60,'500'!$D:$D,"&gt;"&amp;0)+sumifs('300'!$D:$D,'300'!$B:$B,$D83,'300'!$A:$A,"&gt;="&amp;AA$60,'300'!$A:$A,"&lt;="&amp;AA$61,'300'!$D:$D,"&gt;"&amp;0)+sumifs('600.VPA'!$D:$D,'600.VPA'!$B:$B,$D83,'600.VPA'!$A:$A,"&gt;="&amp;AA$60,'600.VPA'!$A:$A,"&lt;="&amp;AA$61,'600.VPA'!$D:$D,"&gt;"&amp;0)</f>
        <v>0</v>
      </c>
      <c r="AB83" s="167">
        <f>sumifs(Boss!$D:$D,Boss!$B:$B,$D83,Boss!$A:$A,"&gt;="&amp;AB$60,Boss!$A:$A,"&lt;="&amp;AB$61,Boss!$D:$D,"&lt;"&amp;0)+sumifs(VPA.Director!$D:$D,VPA.Director!$B:$B,$D83,VPA.Director!$A:$A,"&gt;="&amp;AB$60,VPA.Director!$A:$A,"&lt;="&amp;AB$61,VPA.Director!$D:$D,"&lt;"&amp;0)+sumifs(ADC.Director!$D:$D,ADC.Director!$B:$B,$D83,ADC.Director!$A:$A,"&gt;="&amp;AB$60,ADC.Director!$A:$A,"&lt;="&amp;AB$61,ADC.Director!$D:$D,"&lt;"&amp;0)+sumifs('000'!$D:$D,'000'!$B:$B,$D83,'000'!$A:$A,"&gt;="&amp;AB$60,'000'!$A:$A,"&lt;="&amp;AB$61,'000'!$D:$D,"&lt;"&amp;0)+sumifs('500'!$D:$D,'500'!$B:$B,$D83,'500'!$A:$A,"&gt;="&amp;AB$60,'500'!$A:$A,"&lt;="&amp;AB$61,'500'!$D:$D,"&lt;"&amp;0)+sumifs('300'!$D:$D,'300'!$B:$B,$D83,'300'!$A:$A,"&gt;="&amp;AB$60,'300'!$A:$A,"&lt;="&amp;AB$61,'300'!$D:$D,"&lt;"&amp;0)+sumifs('600.VPA'!$D:$D,'600.VPA'!$B:$B,$D83,'600.VPA'!$A:$A,"&gt;="&amp;AB$60,'600.VPA'!$A:$A,"&lt;="&amp;AB$61,'600.VPA'!$D:$D,"&lt;"&amp;0)</f>
        <v>0</v>
      </c>
      <c r="AC83" s="168">
        <f>sumifs(Boss!$D:$D,Boss!$B:$B,$D83,Boss!$A:$A,"&gt;="&amp;AC$60,Boss!$A:$A,"&lt;="&amp;AC$61,Boss!$D:$D,"&gt;"&amp;0)+sumifs(VPA.Director!$D:$D,VPA.Director!$B:$B,$D83,VPA.Director!$A:$A,"&gt;="&amp;AC$60,VPA.Director!$A:$A,"&lt;="&amp;AC$61,VPA.Director!$D:$D,"&gt;"&amp;0)+sumifs(ADC.Director!$D:$D,ADC.Director!$B:$B,$D83,ADC.Director!$A:$A,"&gt;="&amp;AC$60,ADC.Director!$A:$A,"&lt;="&amp;AC$61,ADC.Director!$D:$D,"&gt;"&amp;0)+sumifs('000'!$D:$D,'000'!$B:$B,$D83,'000'!$A:$A,"&gt;="&amp;AC$60,'000'!$A:$A,"&lt;="&amp;AC$61,'000'!$D:$D,"&gt;"&amp;0)+sumifs('500'!$D:$D,'500'!$B:$B,$D83,'500'!$A:$A,"&gt;="&amp;AC$60,'500'!$A:$A,"&lt;="&amp;AC$60,'500'!$D:$D,"&gt;"&amp;0)+sumifs('300'!$D:$D,'300'!$B:$B,$D83,'300'!$A:$A,"&gt;="&amp;AC$60,'300'!$A:$A,"&lt;="&amp;AC$61,'300'!$D:$D,"&gt;"&amp;0)+sumifs('600.VPA'!$D:$D,'600.VPA'!$B:$B,$D83,'600.VPA'!$A:$A,"&gt;="&amp;AC$60,'600.VPA'!$A:$A,"&lt;="&amp;AC$61,'600.VPA'!$D:$D,"&gt;"&amp;0)</f>
        <v>0</v>
      </c>
      <c r="AD83" s="167">
        <f>sumifs(Boss!$D:$D,Boss!$B:$B,$D83,Boss!$A:$A,"&gt;="&amp;AD$60,Boss!$A:$A,"&lt;="&amp;AD$61,Boss!$D:$D,"&lt;"&amp;0)+sumifs(VPA.Director!$D:$D,VPA.Director!$B:$B,$D83,VPA.Director!$A:$A,"&gt;="&amp;AD$60,VPA.Director!$A:$A,"&lt;="&amp;AD$61,VPA.Director!$D:$D,"&lt;"&amp;0)+sumifs(ADC.Director!$D:$D,ADC.Director!$B:$B,$D83,ADC.Director!$A:$A,"&gt;="&amp;AD$60,ADC.Director!$A:$A,"&lt;="&amp;AD$61,ADC.Director!$D:$D,"&lt;"&amp;0)+sumifs('000'!$D:$D,'000'!$B:$B,$D83,'000'!$A:$A,"&gt;="&amp;AD$60,'000'!$A:$A,"&lt;="&amp;AD$61,'000'!$D:$D,"&lt;"&amp;0)+sumifs('500'!$D:$D,'500'!$B:$B,$D83,'500'!$A:$A,"&gt;="&amp;AD$60,'500'!$A:$A,"&lt;="&amp;AD$61,'500'!$D:$D,"&lt;"&amp;0)+sumifs('300'!$D:$D,'300'!$B:$B,$D83,'300'!$A:$A,"&gt;="&amp;AD$60,'300'!$A:$A,"&lt;="&amp;AD$61,'300'!$D:$D,"&lt;"&amp;0)+sumifs('600.VPA'!$D:$D,'600.VPA'!$B:$B,$D83,'600.VPA'!$A:$A,"&gt;="&amp;AD$60,'600.VPA'!$A:$A,"&lt;="&amp;AD$61,'600.VPA'!$D:$D,"&lt;"&amp;0)</f>
        <v>0</v>
      </c>
      <c r="AE83" s="168">
        <f>sumifs(Boss!$D:$D,Boss!$B:$B,$D83,Boss!$A:$A,"&gt;="&amp;AE$60,Boss!$A:$A,"&lt;="&amp;AE$61,Boss!$D:$D,"&gt;"&amp;0)+sumifs(VPA.Director!$D:$D,VPA.Director!$B:$B,$D83,VPA.Director!$A:$A,"&gt;="&amp;AE$60,VPA.Director!$A:$A,"&lt;="&amp;AE$61,VPA.Director!$D:$D,"&gt;"&amp;0)+sumifs(ADC.Director!$D:$D,ADC.Director!$B:$B,$D83,ADC.Director!$A:$A,"&gt;="&amp;AE$60,ADC.Director!$A:$A,"&lt;="&amp;AE$61,ADC.Director!$D:$D,"&gt;"&amp;0)+sumifs('000'!$D:$D,'000'!$B:$B,$D83,'000'!$A:$A,"&gt;="&amp;AE$60,'000'!$A:$A,"&lt;="&amp;AE$61,'000'!$D:$D,"&gt;"&amp;0)+sumifs('500'!$D:$D,'500'!$B:$B,$D83,'500'!$A:$A,"&gt;="&amp;AE$60,'500'!$A:$A,"&lt;="&amp;AE$60,'500'!$D:$D,"&gt;"&amp;0)+sumifs('300'!$D:$D,'300'!$B:$B,$D83,'300'!$A:$A,"&gt;="&amp;AE$60,'300'!$A:$A,"&lt;="&amp;AE$61,'300'!$D:$D,"&gt;"&amp;0)+sumifs('600.VPA'!$D:$D,'600.VPA'!$B:$B,$D83,'600.VPA'!$A:$A,"&gt;="&amp;AE$60,'600.VPA'!$A:$A,"&lt;="&amp;AE$61,'600.VPA'!$D:$D,"&gt;"&amp;0)</f>
        <v>0</v>
      </c>
      <c r="AF83" s="167">
        <f>sumifs(Boss!$D:$D,Boss!$B:$B,$D83,Boss!$A:$A,"&gt;="&amp;AF$60,Boss!$A:$A,"&lt;="&amp;AF$61,Boss!$D:$D,"&lt;"&amp;0)+sumifs(VPA.Director!$D:$D,VPA.Director!$B:$B,$D83,VPA.Director!$A:$A,"&gt;="&amp;AF$60,VPA.Director!$A:$A,"&lt;="&amp;AF$61,VPA.Director!$D:$D,"&lt;"&amp;0)+sumifs(ADC.Director!$D:$D,ADC.Director!$B:$B,$D83,ADC.Director!$A:$A,"&gt;="&amp;AF$60,ADC.Director!$A:$A,"&lt;="&amp;AF$61,ADC.Director!$D:$D,"&lt;"&amp;0)+sumifs('000'!$D:$D,'000'!$B:$B,$D83,'000'!$A:$A,"&gt;="&amp;AF$60,'000'!$A:$A,"&lt;="&amp;AF$61,'000'!$D:$D,"&lt;"&amp;0)+sumifs('500'!$D:$D,'500'!$B:$B,$D83,'500'!$A:$A,"&gt;="&amp;AF$60,'500'!$A:$A,"&lt;="&amp;AF$61,'500'!$D:$D,"&lt;"&amp;0)+sumifs('300'!$D:$D,'300'!$B:$B,$D83,'300'!$A:$A,"&gt;="&amp;AF$60,'300'!$A:$A,"&lt;="&amp;AF$61,'300'!$D:$D,"&lt;"&amp;0)+sumifs('600.VPA'!$D:$D,'600.VPA'!$B:$B,$D83,'600.VPA'!$A:$A,"&gt;="&amp;AF$60,'600.VPA'!$A:$A,"&lt;="&amp;AF$61,'600.VPA'!$D:$D,"&lt;"&amp;0)</f>
        <v>0</v>
      </c>
      <c r="AG83" s="168">
        <f>sumifs(Boss!$D:$D,Boss!$B:$B,$D83,Boss!$A:$A,"&gt;="&amp;AG$60,Boss!$A:$A,"&lt;="&amp;AG$61,Boss!$D:$D,"&gt;"&amp;0)+sumifs(VPA.Director!$D:$D,VPA.Director!$B:$B,$D83,VPA.Director!$A:$A,"&gt;="&amp;AG$60,VPA.Director!$A:$A,"&lt;="&amp;AG$61,VPA.Director!$D:$D,"&gt;"&amp;0)+sumifs(ADC.Director!$D:$D,ADC.Director!$B:$B,$D83,ADC.Director!$A:$A,"&gt;="&amp;AG$60,ADC.Director!$A:$A,"&lt;="&amp;AG$61,ADC.Director!$D:$D,"&gt;"&amp;0)+sumifs('000'!$D:$D,'000'!$B:$B,$D83,'000'!$A:$A,"&gt;="&amp;AG$60,'000'!$A:$A,"&lt;="&amp;AG$61,'000'!$D:$D,"&gt;"&amp;0)+sumifs('500'!$D:$D,'500'!$B:$B,$D83,'500'!$A:$A,"&gt;="&amp;AG$60,'500'!$A:$A,"&lt;="&amp;AG$60,'500'!$D:$D,"&gt;"&amp;0)+sumifs('300'!$D:$D,'300'!$B:$B,$D83,'300'!$A:$A,"&gt;="&amp;AG$60,'300'!$A:$A,"&lt;="&amp;AG$61,'300'!$D:$D,"&gt;"&amp;0)+sumifs('600.VPA'!$D:$D,'600.VPA'!$B:$B,$D83,'600.VPA'!$A:$A,"&gt;="&amp;AG$60,'600.VPA'!$A:$A,"&lt;="&amp;AG$61,'600.VPA'!$D:$D,"&gt;"&amp;0)</f>
        <v>0</v>
      </c>
      <c r="AH83" s="169">
        <f t="shared" ref="AH83:AI83" si="21">sum(I83,K83,M83,O83,Q83,S83,V83,X83,Z83,AB83,AD83,AF83)</f>
        <v>0</v>
      </c>
      <c r="AI83" s="170">
        <f t="shared" si="21"/>
        <v>0</v>
      </c>
      <c r="AJ83" s="169">
        <f t="shared" si="4"/>
        <v>0</v>
      </c>
      <c r="AK83" s="89"/>
      <c r="AL83" s="89"/>
      <c r="AM83" s="89"/>
      <c r="AN83" s="89"/>
      <c r="AO83" s="89"/>
      <c r="AP83" s="89"/>
      <c r="AQ83" s="89"/>
      <c r="AR83" s="89"/>
      <c r="AS83" s="89"/>
      <c r="AT83" s="89"/>
      <c r="AU83" s="89"/>
    </row>
    <row r="84">
      <c r="A84" s="86"/>
      <c r="B84" s="163"/>
      <c r="D84" s="165" t="s">
        <v>105</v>
      </c>
      <c r="E84" s="166" t="s">
        <v>21</v>
      </c>
      <c r="F84" s="165" t="s">
        <v>159</v>
      </c>
      <c r="G84" s="165" t="s">
        <v>107</v>
      </c>
      <c r="H84" s="165" t="s">
        <v>158</v>
      </c>
      <c r="I84" s="167">
        <f>sumifs(Boss!$D:$D,Boss!$B:$B,$D84,Boss!$A:$A,"&gt;="&amp;I$60,Boss!$A:$A,"&lt;="&amp;I$61,Boss!$D:$D,"&lt;"&amp;0)+sumifs(VPA.Director!$D:$D,VPA.Director!$B:$B,$D84,VPA.Director!$A:$A,"&gt;="&amp;I$60,VPA.Director!$A:$A,"&lt;="&amp;I$61,VPA.Director!$D:$D,"&lt;"&amp;0)+sumifs(ADC.Director!$D:$D,ADC.Director!$B:$B,$D84,ADC.Director!$A:$A,"&gt;="&amp;I$60,ADC.Director!$A:$A,"&lt;="&amp;I$61,ADC.Director!$D:$D,"&lt;"&amp;0)+sumifs('000'!$D:$D,'000'!$B:$B,$D84,'000'!$A:$A,"&gt;="&amp;I$60,'000'!$A:$A,"&lt;="&amp;I$61,'000'!$D:$D,"&lt;"&amp;0)+sumifs('500'!$D:$D,'500'!$B:$B,$D84,'500'!$A:$A,"&gt;="&amp;I$60,'500'!$A:$A,"&lt;="&amp;I$61,'500'!$D:$D,"&lt;"&amp;0)+sumifs('300'!$D:$D,'300'!$B:$B,$D84,'300'!$A:$A,"&gt;="&amp;I$60,'300'!$A:$A,"&lt;="&amp;I$61,'300'!$D:$D,"&lt;"&amp;0)+sumifs('600.VPA'!$D:$D,'600.VPA'!$B:$B,$D84,'600.VPA'!$A:$A,"&gt;="&amp;I$60,'600.VPA'!$A:$A,"&lt;="&amp;I$61,'600.VPA'!$D:$D,"&lt;"&amp;0)</f>
        <v>0</v>
      </c>
      <c r="J84" s="168">
        <f>sumifs(Boss!$D:$D,Boss!$B:$B,$D84,Boss!$A:$A,"&gt;="&amp;J$60,Boss!$A:$A,"&lt;="&amp;J$61,Boss!$D:$D,"&gt;"&amp;0)+sumifs(VPA.Director!$D:$D,VPA.Director!$B:$B,$D84,VPA.Director!$A:$A,"&gt;="&amp;J$60,VPA.Director!$A:$A,"&lt;="&amp;J$61,VPA.Director!$D:$D,"&gt;"&amp;0)+sumifs(ADC.Director!$D:$D,ADC.Director!$B:$B,$D84,ADC.Director!$A:$A,"&gt;="&amp;J$60,ADC.Director!$A:$A,"&lt;="&amp;J$61,ADC.Director!$D:$D,"&gt;"&amp;0)+sumifs('000'!$D:$D,'000'!$B:$B,$D84,'000'!$A:$A,"&gt;="&amp;J$60,'000'!$A:$A,"&lt;="&amp;J$61,'000'!$D:$D,"&gt;"&amp;0)+sumifs('500'!$D:$D,'500'!$B:$B,$D84,'500'!$A:$A,"&gt;="&amp;J$60,'500'!$A:$A,"&lt;="&amp;J$60,'500'!$D:$D,"&gt;"&amp;0)+sumifs('300'!$D:$D,'300'!$B:$B,$D84,'300'!$A:$A,"&gt;="&amp;J$60,'300'!$A:$A,"&lt;="&amp;J$61,'300'!$D:$D,"&gt;"&amp;0)+sumifs('600.VPA'!$D:$D,'600.VPA'!$B:$B,$D84,'600.VPA'!$A:$A,"&gt;="&amp;J$60,'600.VPA'!$A:$A,"&lt;="&amp;J$61,'600.VPA'!$D:$D,"&gt;"&amp;0)</f>
        <v>0</v>
      </c>
      <c r="K84" s="167">
        <f>sumifs(Boss!$D:$D,Boss!$B:$B,$D84,Boss!$A:$A,"&gt;="&amp;K$60,Boss!$A:$A,"&lt;="&amp;K$61,Boss!$D:$D,"&lt;"&amp;0)+sumifs(VPA.Director!$D:$D,VPA.Director!$B:$B,$D84,VPA.Director!$A:$A,"&gt;="&amp;K$60,VPA.Director!$A:$A,"&lt;="&amp;K$61,VPA.Director!$D:$D,"&lt;"&amp;0)+sumifs(ADC.Director!$D:$D,ADC.Director!$B:$B,$D84,ADC.Director!$A:$A,"&gt;="&amp;K$60,ADC.Director!$A:$A,"&lt;="&amp;K$61,ADC.Director!$D:$D,"&lt;"&amp;0)+sumifs('000'!$D:$D,'000'!$B:$B,$D84,'000'!$A:$A,"&gt;="&amp;K$60,'000'!$A:$A,"&lt;="&amp;K$61,'000'!$D:$D,"&lt;"&amp;0)+sumifs('500'!$D:$D,'500'!$B:$B,$D84,'500'!$A:$A,"&gt;="&amp;K$60,'500'!$A:$A,"&lt;="&amp;K$61,'500'!$D:$D,"&lt;"&amp;0)+sumifs('300'!$D:$D,'300'!$B:$B,$D84,'300'!$A:$A,"&gt;="&amp;K$60,'300'!$A:$A,"&lt;="&amp;K$61,'300'!$D:$D,"&lt;"&amp;0)+sumifs('600.VPA'!$D:$D,'600.VPA'!$B:$B,$D84,'600.VPA'!$A:$A,"&gt;="&amp;K$60,'600.VPA'!$A:$A,"&lt;="&amp;K$61,'600.VPA'!$D:$D,"&lt;"&amp;0)</f>
        <v>0</v>
      </c>
      <c r="L84" s="168">
        <f>sumifs(Boss!$D:$D,Boss!$B:$B,$D84,Boss!$A:$A,"&gt;="&amp;L$60,Boss!$A:$A,"&lt;="&amp;L$61,Boss!$D:$D,"&gt;"&amp;0)+sumifs(VPA.Director!$D:$D,VPA.Director!$B:$B,$D84,VPA.Director!$A:$A,"&gt;="&amp;L$60,VPA.Director!$A:$A,"&lt;="&amp;L$61,VPA.Director!$D:$D,"&gt;"&amp;0)+sumifs(ADC.Director!$D:$D,ADC.Director!$B:$B,$D84,ADC.Director!$A:$A,"&gt;="&amp;L$60,ADC.Director!$A:$A,"&lt;="&amp;L$61,ADC.Director!$D:$D,"&gt;"&amp;0)+sumifs('000'!$D:$D,'000'!$B:$B,$D84,'000'!$A:$A,"&gt;="&amp;L$60,'000'!$A:$A,"&lt;="&amp;L$61,'000'!$D:$D,"&gt;"&amp;0)+sumifs('500'!$D:$D,'500'!$B:$B,$D84,'500'!$A:$A,"&gt;="&amp;L$60,'500'!$A:$A,"&lt;="&amp;L$60,'500'!$D:$D,"&gt;"&amp;0)+sumifs('300'!$D:$D,'300'!$B:$B,$D84,'300'!$A:$A,"&gt;="&amp;L$60,'300'!$A:$A,"&lt;="&amp;L$61,'300'!$D:$D,"&gt;"&amp;0)+sumifs('600.VPA'!$D:$D,'600.VPA'!$B:$B,$D84,'600.VPA'!$A:$A,"&gt;="&amp;L$60,'600.VPA'!$A:$A,"&lt;="&amp;L$61,'600.VPA'!$D:$D,"&gt;"&amp;0)</f>
        <v>0</v>
      </c>
      <c r="M84" s="167">
        <f>sumifs(Boss!$D:$D,Boss!$B:$B,$D84,Boss!$A:$A,"&gt;="&amp;M$60,Boss!$A:$A,"&lt;="&amp;M$61,Boss!$D:$D,"&lt;"&amp;0)+sumifs(VPA.Director!$D:$D,VPA.Director!$B:$B,$D84,VPA.Director!$A:$A,"&gt;="&amp;M$60,VPA.Director!$A:$A,"&lt;="&amp;M$61,VPA.Director!$D:$D,"&lt;"&amp;0)+sumifs(ADC.Director!$D:$D,ADC.Director!$B:$B,$D84,ADC.Director!$A:$A,"&gt;="&amp;M$60,ADC.Director!$A:$A,"&lt;="&amp;M$61,ADC.Director!$D:$D,"&lt;"&amp;0)+sumifs('000'!$D:$D,'000'!$B:$B,$D84,'000'!$A:$A,"&gt;="&amp;M$60,'000'!$A:$A,"&lt;="&amp;M$61,'000'!$D:$D,"&lt;"&amp;0)+sumifs('500'!$D:$D,'500'!$B:$B,$D84,'500'!$A:$A,"&gt;="&amp;M$60,'500'!$A:$A,"&lt;="&amp;M$61,'500'!$D:$D,"&lt;"&amp;0)+sumifs('300'!$D:$D,'300'!$B:$B,$D84,'300'!$A:$A,"&gt;="&amp;M$60,'300'!$A:$A,"&lt;="&amp;M$61,'300'!$D:$D,"&lt;"&amp;0)+sumifs('600.VPA'!$D:$D,'600.VPA'!$B:$B,$D84,'600.VPA'!$A:$A,"&gt;="&amp;M$60,'600.VPA'!$A:$A,"&lt;="&amp;M$61,'600.VPA'!$D:$D,"&lt;"&amp;0)</f>
        <v>0</v>
      </c>
      <c r="N84" s="168">
        <f>sumifs(Boss!$D:$D,Boss!$B:$B,$D84,Boss!$A:$A,"&gt;="&amp;N$60,Boss!$A:$A,"&lt;="&amp;N$61,Boss!$D:$D,"&gt;"&amp;0)+sumifs(VPA.Director!$D:$D,VPA.Director!$B:$B,$D84,VPA.Director!$A:$A,"&gt;="&amp;N$60,VPA.Director!$A:$A,"&lt;="&amp;N$61,VPA.Director!$D:$D,"&gt;"&amp;0)+sumifs(ADC.Director!$D:$D,ADC.Director!$B:$B,$D84,ADC.Director!$A:$A,"&gt;="&amp;N$60,ADC.Director!$A:$A,"&lt;="&amp;N$61,ADC.Director!$D:$D,"&gt;"&amp;0)+sumifs('000'!$D:$D,'000'!$B:$B,$D84,'000'!$A:$A,"&gt;="&amp;N$60,'000'!$A:$A,"&lt;="&amp;N$61,'000'!$D:$D,"&gt;"&amp;0)+sumifs('500'!$D:$D,'500'!$B:$B,$D84,'500'!$A:$A,"&gt;="&amp;N$60,'500'!$A:$A,"&lt;="&amp;N$60,'500'!$D:$D,"&gt;"&amp;0)+sumifs('300'!$D:$D,'300'!$B:$B,$D84,'300'!$A:$A,"&gt;="&amp;N$60,'300'!$A:$A,"&lt;="&amp;N$61,'300'!$D:$D,"&gt;"&amp;0)+sumifs('600.VPA'!$D:$D,'600.VPA'!$B:$B,$D84,'600.VPA'!$A:$A,"&gt;="&amp;N$60,'600.VPA'!$A:$A,"&lt;="&amp;N$61,'600.VPA'!$D:$D,"&gt;"&amp;0)</f>
        <v>0</v>
      </c>
      <c r="O84" s="167">
        <f>sumifs(Boss!$D:$D,Boss!$B:$B,$D84,Boss!$A:$A,"&gt;="&amp;O$60,Boss!$A:$A,"&lt;="&amp;O$61,Boss!$D:$D,"&lt;"&amp;0)+sumifs(VPA.Director!$D:$D,VPA.Director!$B:$B,$D84,VPA.Director!$A:$A,"&gt;="&amp;O$60,VPA.Director!$A:$A,"&lt;="&amp;O$61,VPA.Director!$D:$D,"&lt;"&amp;0)+sumifs(ADC.Director!$D:$D,ADC.Director!$B:$B,$D84,ADC.Director!$A:$A,"&gt;="&amp;O$60,ADC.Director!$A:$A,"&lt;="&amp;O$61,ADC.Director!$D:$D,"&lt;"&amp;0)+sumifs('000'!$D:$D,'000'!$B:$B,$D84,'000'!$A:$A,"&gt;="&amp;O$60,'000'!$A:$A,"&lt;="&amp;O$61,'000'!$D:$D,"&lt;"&amp;0)+sumifs('500'!$D:$D,'500'!$B:$B,$D84,'500'!$A:$A,"&gt;="&amp;O$60,'500'!$A:$A,"&lt;="&amp;O$61,'500'!$D:$D,"&lt;"&amp;0)+sumifs('300'!$D:$D,'300'!$B:$B,$D84,'300'!$A:$A,"&gt;="&amp;O$60,'300'!$A:$A,"&lt;="&amp;O$61,'300'!$D:$D,"&lt;"&amp;0)+sumifs('600.VPA'!$D:$D,'600.VPA'!$B:$B,$D84,'600.VPA'!$A:$A,"&gt;="&amp;O$60,'600.VPA'!$A:$A,"&lt;="&amp;O$61,'600.VPA'!$D:$D,"&lt;"&amp;0)</f>
        <v>0</v>
      </c>
      <c r="P84" s="168">
        <f>sumifs(Boss!$D:$D,Boss!$B:$B,$D84,Boss!$A:$A,"&gt;="&amp;P$60,Boss!$A:$A,"&lt;="&amp;P$61,Boss!$D:$D,"&gt;"&amp;0)+sumifs(VPA.Director!$D:$D,VPA.Director!$B:$B,$D84,VPA.Director!$A:$A,"&gt;="&amp;P$60,VPA.Director!$A:$A,"&lt;="&amp;P$61,VPA.Director!$D:$D,"&gt;"&amp;0)+sumifs(ADC.Director!$D:$D,ADC.Director!$B:$B,$D84,ADC.Director!$A:$A,"&gt;="&amp;P$60,ADC.Director!$A:$A,"&lt;="&amp;P$61,ADC.Director!$D:$D,"&gt;"&amp;0)+sumifs('000'!$D:$D,'000'!$B:$B,$D84,'000'!$A:$A,"&gt;="&amp;P$60,'000'!$A:$A,"&lt;="&amp;P$61,'000'!$D:$D,"&gt;"&amp;0)+sumifs('500'!$D:$D,'500'!$B:$B,$D84,'500'!$A:$A,"&gt;="&amp;P$60,'500'!$A:$A,"&lt;="&amp;P$60,'500'!$D:$D,"&gt;"&amp;0)+sumifs('300'!$D:$D,'300'!$B:$B,$D84,'300'!$A:$A,"&gt;="&amp;P$60,'300'!$A:$A,"&lt;="&amp;P$61,'300'!$D:$D,"&gt;"&amp;0)+sumifs('600.VPA'!$D:$D,'600.VPA'!$B:$B,$D84,'600.VPA'!$A:$A,"&gt;="&amp;P$60,'600.VPA'!$A:$A,"&lt;="&amp;P$61,'600.VPA'!$D:$D,"&gt;"&amp;0)</f>
        <v>0</v>
      </c>
      <c r="Q84" s="167">
        <f>sumifs(Boss!$D:$D,Boss!$B:$B,$D84,Boss!$A:$A,"&gt;="&amp;Q$60,Boss!$A:$A,"&lt;="&amp;Q$61,Boss!$D:$D,"&lt;"&amp;0)+sumifs(VPA.Director!$D:$D,VPA.Director!$B:$B,$D84,VPA.Director!$A:$A,"&gt;="&amp;Q$60,VPA.Director!$A:$A,"&lt;="&amp;Q$61,VPA.Director!$D:$D,"&lt;"&amp;0)+sumifs(ADC.Director!$D:$D,ADC.Director!$B:$B,$D84,ADC.Director!$A:$A,"&gt;="&amp;Q$60,ADC.Director!$A:$A,"&lt;="&amp;Q$61,ADC.Director!$D:$D,"&lt;"&amp;0)+sumifs('000'!$D:$D,'000'!$B:$B,$D84,'000'!$A:$A,"&gt;="&amp;Q$60,'000'!$A:$A,"&lt;="&amp;Q$61,'000'!$D:$D,"&lt;"&amp;0)+sumifs('500'!$D:$D,'500'!$B:$B,$D84,'500'!$A:$A,"&gt;="&amp;Q$60,'500'!$A:$A,"&lt;="&amp;Q$61,'500'!$D:$D,"&lt;"&amp;0)+sumifs('300'!$D:$D,'300'!$B:$B,$D84,'300'!$A:$A,"&gt;="&amp;Q$60,'300'!$A:$A,"&lt;="&amp;Q$61,'300'!$D:$D,"&lt;"&amp;0)+sumifs('600.VPA'!$D:$D,'600.VPA'!$B:$B,$D84,'600.VPA'!$A:$A,"&gt;="&amp;Q$60,'600.VPA'!$A:$A,"&lt;="&amp;Q$61,'600.VPA'!$D:$D,"&lt;"&amp;0)</f>
        <v>0</v>
      </c>
      <c r="R84" s="168">
        <f>sumifs(Boss!$D:$D,Boss!$B:$B,$D84,Boss!$A:$A,"&gt;="&amp;R$60,Boss!$A:$A,"&lt;="&amp;R$61,Boss!$D:$D,"&gt;"&amp;0)+sumifs(VPA.Director!$D:$D,VPA.Director!$B:$B,$D84,VPA.Director!$A:$A,"&gt;="&amp;R$60,VPA.Director!$A:$A,"&lt;="&amp;R$61,VPA.Director!$D:$D,"&gt;"&amp;0)+sumifs(ADC.Director!$D:$D,ADC.Director!$B:$B,$D84,ADC.Director!$A:$A,"&gt;="&amp;R$60,ADC.Director!$A:$A,"&lt;="&amp;R$61,ADC.Director!$D:$D,"&gt;"&amp;0)+sumifs('000'!$D:$D,'000'!$B:$B,$D84,'000'!$A:$A,"&gt;="&amp;R$60,'000'!$A:$A,"&lt;="&amp;R$61,'000'!$D:$D,"&gt;"&amp;0)+sumifs('500'!$D:$D,'500'!$B:$B,$D84,'500'!$A:$A,"&gt;="&amp;R$60,'500'!$A:$A,"&lt;="&amp;R$60,'500'!$D:$D,"&gt;"&amp;0)+sumifs('300'!$D:$D,'300'!$B:$B,$D84,'300'!$A:$A,"&gt;="&amp;R$60,'300'!$A:$A,"&lt;="&amp;R$61,'300'!$D:$D,"&gt;"&amp;0)+sumifs('600.VPA'!$D:$D,'600.VPA'!$B:$B,$D84,'600.VPA'!$A:$A,"&gt;="&amp;R$60,'600.VPA'!$A:$A,"&lt;="&amp;R$61,'600.VPA'!$D:$D,"&gt;"&amp;0)</f>
        <v>0</v>
      </c>
      <c r="S84" s="167">
        <f>sumifs(Boss!$D:$D,Boss!$B:$B,$D84,Boss!$A:$A,"&gt;="&amp;S$60,Boss!$A:$A,"&lt;="&amp;S$61,Boss!$D:$D,"&lt;"&amp;0)+sumifs(VPA.Director!$D:$D,VPA.Director!$B:$B,$D84,VPA.Director!$A:$A,"&gt;="&amp;S$60,VPA.Director!$A:$A,"&lt;="&amp;S$61,VPA.Director!$D:$D,"&lt;"&amp;0)+sumifs(ADC.Director!$D:$D,ADC.Director!$B:$B,$D84,ADC.Director!$A:$A,"&gt;="&amp;S$60,ADC.Director!$A:$A,"&lt;="&amp;S$61,ADC.Director!$D:$D,"&lt;"&amp;0)+sumifs('000'!$D:$D,'000'!$B:$B,$D84,'000'!$A:$A,"&gt;="&amp;S$60,'000'!$A:$A,"&lt;="&amp;S$61,'000'!$D:$D,"&lt;"&amp;0)+sumifs('500'!$D:$D,'500'!$B:$B,$D84,'500'!$A:$A,"&gt;="&amp;S$60,'500'!$A:$A,"&lt;="&amp;S$61,'500'!$D:$D,"&lt;"&amp;0)+sumifs('300'!$D:$D,'300'!$B:$B,$D84,'300'!$A:$A,"&gt;="&amp;S$60,'300'!$A:$A,"&lt;="&amp;S$61,'300'!$D:$D,"&lt;"&amp;0)+sumifs('600.VPA'!$D:$D,'600.VPA'!$B:$B,$D84,'600.VPA'!$A:$A,"&gt;="&amp;S$60,'600.VPA'!$A:$A,"&lt;="&amp;S$61,'600.VPA'!$D:$D,"&lt;"&amp;0)</f>
        <v>0</v>
      </c>
      <c r="T84" s="168">
        <f>sumifs(Boss!$D:$D,Boss!$B:$B,$D84,Boss!$A:$A,"&gt;="&amp;T$60,Boss!$A:$A,"&lt;="&amp;T$61,Boss!$D:$D,"&gt;"&amp;0)+sumifs(VPA.Director!$D:$D,VPA.Director!$B:$B,$D84,VPA.Director!$A:$A,"&gt;="&amp;T$60,VPA.Director!$A:$A,"&lt;="&amp;T$61,VPA.Director!$D:$D,"&gt;"&amp;0)+sumifs(ADC.Director!$D:$D,ADC.Director!$B:$B,$D84,ADC.Director!$A:$A,"&gt;="&amp;T$60,ADC.Director!$A:$A,"&lt;="&amp;T$61,ADC.Director!$D:$D,"&gt;"&amp;0)+sumifs('000'!$D:$D,'000'!$B:$B,$D84,'000'!$A:$A,"&gt;="&amp;T$60,'000'!$A:$A,"&lt;="&amp;T$61,'000'!$D:$D,"&gt;"&amp;0)+sumifs('500'!$D:$D,'500'!$B:$B,$D84,'500'!$A:$A,"&gt;="&amp;T$60,'500'!$A:$A,"&lt;="&amp;T$60,'500'!$D:$D,"&gt;"&amp;0)+sumifs('300'!$D:$D,'300'!$B:$B,$D84,'300'!$A:$A,"&gt;="&amp;T$60,'300'!$A:$A,"&lt;="&amp;T$61,'300'!$D:$D,"&gt;"&amp;0)+sumifs('600.VPA'!$D:$D,'600.VPA'!$B:$B,$D84,'600.VPA'!$A:$A,"&gt;="&amp;T$60,'600.VPA'!$A:$A,"&lt;="&amp;T$61,'600.VPA'!$D:$D,"&gt;"&amp;0)</f>
        <v>0</v>
      </c>
      <c r="U84" s="163"/>
      <c r="V84" s="167">
        <f>sumifs(Boss!$D:$D,Boss!$B:$B,$D84,Boss!$A:$A,"&gt;="&amp;V$60,Boss!$A:$A,"&lt;="&amp;V$61,Boss!$D:$D,"&lt;"&amp;0)+sumifs(VPA.Director!$D:$D,VPA.Director!$B:$B,$D84,VPA.Director!$A:$A,"&gt;="&amp;V$60,VPA.Director!$A:$A,"&lt;="&amp;V$61,VPA.Director!$D:$D,"&lt;"&amp;0)+sumifs(ADC.Director!$D:$D,ADC.Director!$B:$B,$D84,ADC.Director!$A:$A,"&gt;="&amp;V$60,ADC.Director!$A:$A,"&lt;="&amp;V$61,ADC.Director!$D:$D,"&lt;"&amp;0)+sumifs('000'!$D:$D,'000'!$B:$B,$D84,'000'!$A:$A,"&gt;="&amp;V$60,'000'!$A:$A,"&lt;="&amp;V$61,'000'!$D:$D,"&lt;"&amp;0)+sumifs('500'!$D:$D,'500'!$B:$B,$D84,'500'!$A:$A,"&gt;="&amp;V$60,'500'!$A:$A,"&lt;="&amp;V$61,'500'!$D:$D,"&lt;"&amp;0)+sumifs('300'!$D:$D,'300'!$B:$B,$D84,'300'!$A:$A,"&gt;="&amp;V$60,'300'!$A:$A,"&lt;="&amp;V$61,'300'!$D:$D,"&lt;"&amp;0)+sumifs('600.VPA'!$D:$D,'600.VPA'!$B:$B,$D84,'600.VPA'!$A:$A,"&gt;="&amp;V$60,'600.VPA'!$A:$A,"&lt;="&amp;V$61,'600.VPA'!$D:$D,"&lt;"&amp;0)</f>
        <v>0</v>
      </c>
      <c r="W84" s="168">
        <f>sumifs(Boss!$D:$D,Boss!$B:$B,$D84,Boss!$A:$A,"&gt;="&amp;W$60,Boss!$A:$A,"&lt;="&amp;W$61,Boss!$D:$D,"&gt;"&amp;0)+sumifs(VPA.Director!$D:$D,VPA.Director!$B:$B,$D84,VPA.Director!$A:$A,"&gt;="&amp;W$60,VPA.Director!$A:$A,"&lt;="&amp;W$61,VPA.Director!$D:$D,"&gt;"&amp;0)+sumifs(ADC.Director!$D:$D,ADC.Director!$B:$B,$D84,ADC.Director!$A:$A,"&gt;="&amp;W$60,ADC.Director!$A:$A,"&lt;="&amp;W$61,ADC.Director!$D:$D,"&gt;"&amp;0)+sumifs('000'!$D:$D,'000'!$B:$B,$D84,'000'!$A:$A,"&gt;="&amp;W$60,'000'!$A:$A,"&lt;="&amp;W$61,'000'!$D:$D,"&gt;"&amp;0)+sumifs('500'!$D:$D,'500'!$B:$B,$D84,'500'!$A:$A,"&gt;="&amp;W$60,'500'!$A:$A,"&lt;="&amp;W$60,'500'!$D:$D,"&gt;"&amp;0)+sumifs('300'!$D:$D,'300'!$B:$B,$D84,'300'!$A:$A,"&gt;="&amp;W$60,'300'!$A:$A,"&lt;="&amp;W$61,'300'!$D:$D,"&gt;"&amp;0)+sumifs('600.VPA'!$D:$D,'600.VPA'!$B:$B,$D84,'600.VPA'!$A:$A,"&gt;="&amp;W$60,'600.VPA'!$A:$A,"&lt;="&amp;W$61,'600.VPA'!$D:$D,"&gt;"&amp;0)</f>
        <v>0</v>
      </c>
      <c r="X84" s="167">
        <f>sumifs(Boss!$D:$D,Boss!$B:$B,$D84,Boss!$A:$A,"&gt;="&amp;X$60,Boss!$A:$A,"&lt;="&amp;X$61,Boss!$D:$D,"&lt;"&amp;0)+sumifs(VPA.Director!$D:$D,VPA.Director!$B:$B,$D84,VPA.Director!$A:$A,"&gt;="&amp;X$60,VPA.Director!$A:$A,"&lt;="&amp;X$61,VPA.Director!$D:$D,"&lt;"&amp;0)+sumifs(ADC.Director!$D:$D,ADC.Director!$B:$B,$D84,ADC.Director!$A:$A,"&gt;="&amp;X$60,ADC.Director!$A:$A,"&lt;="&amp;X$61,ADC.Director!$D:$D,"&lt;"&amp;0)+sumifs('000'!$D:$D,'000'!$B:$B,$D84,'000'!$A:$A,"&gt;="&amp;X$60,'000'!$A:$A,"&lt;="&amp;X$61,'000'!$D:$D,"&lt;"&amp;0)+sumifs('500'!$D:$D,'500'!$B:$B,$D84,'500'!$A:$A,"&gt;="&amp;X$60,'500'!$A:$A,"&lt;="&amp;X$61,'500'!$D:$D,"&lt;"&amp;0)+sumifs('300'!$D:$D,'300'!$B:$B,$D84,'300'!$A:$A,"&gt;="&amp;X$60,'300'!$A:$A,"&lt;="&amp;X$61,'300'!$D:$D,"&lt;"&amp;0)+sumifs('600.VPA'!$D:$D,'600.VPA'!$B:$B,$D84,'600.VPA'!$A:$A,"&gt;="&amp;X$60,'600.VPA'!$A:$A,"&lt;="&amp;X$61,'600.VPA'!$D:$D,"&lt;"&amp;0)</f>
        <v>0</v>
      </c>
      <c r="Y84" s="168">
        <f>sumifs(Boss!$D:$D,Boss!$B:$B,$D84,Boss!$A:$A,"&gt;="&amp;Y$60,Boss!$A:$A,"&lt;="&amp;Y$61,Boss!$D:$D,"&gt;"&amp;0)+sumifs(VPA.Director!$D:$D,VPA.Director!$B:$B,$D84,VPA.Director!$A:$A,"&gt;="&amp;Y$60,VPA.Director!$A:$A,"&lt;="&amp;Y$61,VPA.Director!$D:$D,"&gt;"&amp;0)+sumifs(ADC.Director!$D:$D,ADC.Director!$B:$B,$D84,ADC.Director!$A:$A,"&gt;="&amp;Y$60,ADC.Director!$A:$A,"&lt;="&amp;Y$61,ADC.Director!$D:$D,"&gt;"&amp;0)+sumifs('000'!$D:$D,'000'!$B:$B,$D84,'000'!$A:$A,"&gt;="&amp;Y$60,'000'!$A:$A,"&lt;="&amp;Y$61,'000'!$D:$D,"&gt;"&amp;0)+sumifs('500'!$D:$D,'500'!$B:$B,$D84,'500'!$A:$A,"&gt;="&amp;Y$60,'500'!$A:$A,"&lt;="&amp;Y$60,'500'!$D:$D,"&gt;"&amp;0)+sumifs('300'!$D:$D,'300'!$B:$B,$D84,'300'!$A:$A,"&gt;="&amp;Y$60,'300'!$A:$A,"&lt;="&amp;Y$61,'300'!$D:$D,"&gt;"&amp;0)+sumifs('600.VPA'!$D:$D,'600.VPA'!$B:$B,$D84,'600.VPA'!$A:$A,"&gt;="&amp;Y$60,'600.VPA'!$A:$A,"&lt;="&amp;Y$61,'600.VPA'!$D:$D,"&gt;"&amp;0)</f>
        <v>0</v>
      </c>
      <c r="Z84" s="167">
        <f>sumifs(Boss!$D:$D,Boss!$B:$B,$D84,Boss!$A:$A,"&gt;="&amp;Z$60,Boss!$A:$A,"&lt;="&amp;Z$61,Boss!$D:$D,"&lt;"&amp;0)+sumifs(VPA.Director!$D:$D,VPA.Director!$B:$B,$D84,VPA.Director!$A:$A,"&gt;="&amp;Z$60,VPA.Director!$A:$A,"&lt;="&amp;Z$61,VPA.Director!$D:$D,"&lt;"&amp;0)+sumifs(ADC.Director!$D:$D,ADC.Director!$B:$B,$D84,ADC.Director!$A:$A,"&gt;="&amp;Z$60,ADC.Director!$A:$A,"&lt;="&amp;Z$61,ADC.Director!$D:$D,"&lt;"&amp;0)+sumifs('000'!$D:$D,'000'!$B:$B,$D84,'000'!$A:$A,"&gt;="&amp;Z$60,'000'!$A:$A,"&lt;="&amp;Z$61,'000'!$D:$D,"&lt;"&amp;0)+sumifs('500'!$D:$D,'500'!$B:$B,$D84,'500'!$A:$A,"&gt;="&amp;Z$60,'500'!$A:$A,"&lt;="&amp;Z$61,'500'!$D:$D,"&lt;"&amp;0)+sumifs('300'!$D:$D,'300'!$B:$B,$D84,'300'!$A:$A,"&gt;="&amp;Z$60,'300'!$A:$A,"&lt;="&amp;Z$61,'300'!$D:$D,"&lt;"&amp;0)+sumifs('600.VPA'!$D:$D,'600.VPA'!$B:$B,$D84,'600.VPA'!$A:$A,"&gt;="&amp;Z$60,'600.VPA'!$A:$A,"&lt;="&amp;Z$61,'600.VPA'!$D:$D,"&lt;"&amp;0)</f>
        <v>0</v>
      </c>
      <c r="AA84" s="168">
        <f>sumifs(Boss!$D:$D,Boss!$B:$B,$D84,Boss!$A:$A,"&gt;="&amp;AA$60,Boss!$A:$A,"&lt;="&amp;AA$61,Boss!$D:$D,"&gt;"&amp;0)+sumifs(VPA.Director!$D:$D,VPA.Director!$B:$B,$D84,VPA.Director!$A:$A,"&gt;="&amp;AA$60,VPA.Director!$A:$A,"&lt;="&amp;AA$61,VPA.Director!$D:$D,"&gt;"&amp;0)+sumifs(ADC.Director!$D:$D,ADC.Director!$B:$B,$D84,ADC.Director!$A:$A,"&gt;="&amp;AA$60,ADC.Director!$A:$A,"&lt;="&amp;AA$61,ADC.Director!$D:$D,"&gt;"&amp;0)+sumifs('000'!$D:$D,'000'!$B:$B,$D84,'000'!$A:$A,"&gt;="&amp;AA$60,'000'!$A:$A,"&lt;="&amp;AA$61,'000'!$D:$D,"&gt;"&amp;0)+sumifs('500'!$D:$D,'500'!$B:$B,$D84,'500'!$A:$A,"&gt;="&amp;AA$60,'500'!$A:$A,"&lt;="&amp;AA$60,'500'!$D:$D,"&gt;"&amp;0)+sumifs('300'!$D:$D,'300'!$B:$B,$D84,'300'!$A:$A,"&gt;="&amp;AA$60,'300'!$A:$A,"&lt;="&amp;AA$61,'300'!$D:$D,"&gt;"&amp;0)+sumifs('600.VPA'!$D:$D,'600.VPA'!$B:$B,$D84,'600.VPA'!$A:$A,"&gt;="&amp;AA$60,'600.VPA'!$A:$A,"&lt;="&amp;AA$61,'600.VPA'!$D:$D,"&gt;"&amp;0)</f>
        <v>0</v>
      </c>
      <c r="AB84" s="167">
        <f>sumifs(Boss!$D:$D,Boss!$B:$B,$D84,Boss!$A:$A,"&gt;="&amp;AB$60,Boss!$A:$A,"&lt;="&amp;AB$61,Boss!$D:$D,"&lt;"&amp;0)+sumifs(VPA.Director!$D:$D,VPA.Director!$B:$B,$D84,VPA.Director!$A:$A,"&gt;="&amp;AB$60,VPA.Director!$A:$A,"&lt;="&amp;AB$61,VPA.Director!$D:$D,"&lt;"&amp;0)+sumifs(ADC.Director!$D:$D,ADC.Director!$B:$B,$D84,ADC.Director!$A:$A,"&gt;="&amp;AB$60,ADC.Director!$A:$A,"&lt;="&amp;AB$61,ADC.Director!$D:$D,"&lt;"&amp;0)+sumifs('000'!$D:$D,'000'!$B:$B,$D84,'000'!$A:$A,"&gt;="&amp;AB$60,'000'!$A:$A,"&lt;="&amp;AB$61,'000'!$D:$D,"&lt;"&amp;0)+sumifs('500'!$D:$D,'500'!$B:$B,$D84,'500'!$A:$A,"&gt;="&amp;AB$60,'500'!$A:$A,"&lt;="&amp;AB$61,'500'!$D:$D,"&lt;"&amp;0)+sumifs('300'!$D:$D,'300'!$B:$B,$D84,'300'!$A:$A,"&gt;="&amp;AB$60,'300'!$A:$A,"&lt;="&amp;AB$61,'300'!$D:$D,"&lt;"&amp;0)+sumifs('600.VPA'!$D:$D,'600.VPA'!$B:$B,$D84,'600.VPA'!$A:$A,"&gt;="&amp;AB$60,'600.VPA'!$A:$A,"&lt;="&amp;AB$61,'600.VPA'!$D:$D,"&lt;"&amp;0)</f>
        <v>0</v>
      </c>
      <c r="AC84" s="168">
        <f>sumifs(Boss!$D:$D,Boss!$B:$B,$D84,Boss!$A:$A,"&gt;="&amp;AC$60,Boss!$A:$A,"&lt;="&amp;AC$61,Boss!$D:$D,"&gt;"&amp;0)+sumifs(VPA.Director!$D:$D,VPA.Director!$B:$B,$D84,VPA.Director!$A:$A,"&gt;="&amp;AC$60,VPA.Director!$A:$A,"&lt;="&amp;AC$61,VPA.Director!$D:$D,"&gt;"&amp;0)+sumifs(ADC.Director!$D:$D,ADC.Director!$B:$B,$D84,ADC.Director!$A:$A,"&gt;="&amp;AC$60,ADC.Director!$A:$A,"&lt;="&amp;AC$61,ADC.Director!$D:$D,"&gt;"&amp;0)+sumifs('000'!$D:$D,'000'!$B:$B,$D84,'000'!$A:$A,"&gt;="&amp;AC$60,'000'!$A:$A,"&lt;="&amp;AC$61,'000'!$D:$D,"&gt;"&amp;0)+sumifs('500'!$D:$D,'500'!$B:$B,$D84,'500'!$A:$A,"&gt;="&amp;AC$60,'500'!$A:$A,"&lt;="&amp;AC$60,'500'!$D:$D,"&gt;"&amp;0)+sumifs('300'!$D:$D,'300'!$B:$B,$D84,'300'!$A:$A,"&gt;="&amp;AC$60,'300'!$A:$A,"&lt;="&amp;AC$61,'300'!$D:$D,"&gt;"&amp;0)+sumifs('600.VPA'!$D:$D,'600.VPA'!$B:$B,$D84,'600.VPA'!$A:$A,"&gt;="&amp;AC$60,'600.VPA'!$A:$A,"&lt;="&amp;AC$61,'600.VPA'!$D:$D,"&gt;"&amp;0)</f>
        <v>0</v>
      </c>
      <c r="AD84" s="167">
        <f>sumifs(Boss!$D:$D,Boss!$B:$B,$D84,Boss!$A:$A,"&gt;="&amp;AD$60,Boss!$A:$A,"&lt;="&amp;AD$61,Boss!$D:$D,"&lt;"&amp;0)+sumifs(VPA.Director!$D:$D,VPA.Director!$B:$B,$D84,VPA.Director!$A:$A,"&gt;="&amp;AD$60,VPA.Director!$A:$A,"&lt;="&amp;AD$61,VPA.Director!$D:$D,"&lt;"&amp;0)+sumifs(ADC.Director!$D:$D,ADC.Director!$B:$B,$D84,ADC.Director!$A:$A,"&gt;="&amp;AD$60,ADC.Director!$A:$A,"&lt;="&amp;AD$61,ADC.Director!$D:$D,"&lt;"&amp;0)+sumifs('000'!$D:$D,'000'!$B:$B,$D84,'000'!$A:$A,"&gt;="&amp;AD$60,'000'!$A:$A,"&lt;="&amp;AD$61,'000'!$D:$D,"&lt;"&amp;0)+sumifs('500'!$D:$D,'500'!$B:$B,$D84,'500'!$A:$A,"&gt;="&amp;AD$60,'500'!$A:$A,"&lt;="&amp;AD$61,'500'!$D:$D,"&lt;"&amp;0)+sumifs('300'!$D:$D,'300'!$B:$B,$D84,'300'!$A:$A,"&gt;="&amp;AD$60,'300'!$A:$A,"&lt;="&amp;AD$61,'300'!$D:$D,"&lt;"&amp;0)+sumifs('600.VPA'!$D:$D,'600.VPA'!$B:$B,$D84,'600.VPA'!$A:$A,"&gt;="&amp;AD$60,'600.VPA'!$A:$A,"&lt;="&amp;AD$61,'600.VPA'!$D:$D,"&lt;"&amp;0)</f>
        <v>0</v>
      </c>
      <c r="AE84" s="168">
        <f>sumifs(Boss!$D:$D,Boss!$B:$B,$D84,Boss!$A:$A,"&gt;="&amp;AE$60,Boss!$A:$A,"&lt;="&amp;AE$61,Boss!$D:$D,"&gt;"&amp;0)+sumifs(VPA.Director!$D:$D,VPA.Director!$B:$B,$D84,VPA.Director!$A:$A,"&gt;="&amp;AE$60,VPA.Director!$A:$A,"&lt;="&amp;AE$61,VPA.Director!$D:$D,"&gt;"&amp;0)+sumifs(ADC.Director!$D:$D,ADC.Director!$B:$B,$D84,ADC.Director!$A:$A,"&gt;="&amp;AE$60,ADC.Director!$A:$A,"&lt;="&amp;AE$61,ADC.Director!$D:$D,"&gt;"&amp;0)+sumifs('000'!$D:$D,'000'!$B:$B,$D84,'000'!$A:$A,"&gt;="&amp;AE$60,'000'!$A:$A,"&lt;="&amp;AE$61,'000'!$D:$D,"&gt;"&amp;0)+sumifs('500'!$D:$D,'500'!$B:$B,$D84,'500'!$A:$A,"&gt;="&amp;AE$60,'500'!$A:$A,"&lt;="&amp;AE$60,'500'!$D:$D,"&gt;"&amp;0)+sumifs('300'!$D:$D,'300'!$B:$B,$D84,'300'!$A:$A,"&gt;="&amp;AE$60,'300'!$A:$A,"&lt;="&amp;AE$61,'300'!$D:$D,"&gt;"&amp;0)+sumifs('600.VPA'!$D:$D,'600.VPA'!$B:$B,$D84,'600.VPA'!$A:$A,"&gt;="&amp;AE$60,'600.VPA'!$A:$A,"&lt;="&amp;AE$61,'600.VPA'!$D:$D,"&gt;"&amp;0)</f>
        <v>0</v>
      </c>
      <c r="AF84" s="167">
        <f>sumifs(Boss!$D:$D,Boss!$B:$B,$D84,Boss!$A:$A,"&gt;="&amp;AF$60,Boss!$A:$A,"&lt;="&amp;AF$61,Boss!$D:$D,"&lt;"&amp;0)+sumifs(VPA.Director!$D:$D,VPA.Director!$B:$B,$D84,VPA.Director!$A:$A,"&gt;="&amp;AF$60,VPA.Director!$A:$A,"&lt;="&amp;AF$61,VPA.Director!$D:$D,"&lt;"&amp;0)+sumifs(ADC.Director!$D:$D,ADC.Director!$B:$B,$D84,ADC.Director!$A:$A,"&gt;="&amp;AF$60,ADC.Director!$A:$A,"&lt;="&amp;AF$61,ADC.Director!$D:$D,"&lt;"&amp;0)+sumifs('000'!$D:$D,'000'!$B:$B,$D84,'000'!$A:$A,"&gt;="&amp;AF$60,'000'!$A:$A,"&lt;="&amp;AF$61,'000'!$D:$D,"&lt;"&amp;0)+sumifs('500'!$D:$D,'500'!$B:$B,$D84,'500'!$A:$A,"&gt;="&amp;AF$60,'500'!$A:$A,"&lt;="&amp;AF$61,'500'!$D:$D,"&lt;"&amp;0)+sumifs('300'!$D:$D,'300'!$B:$B,$D84,'300'!$A:$A,"&gt;="&amp;AF$60,'300'!$A:$A,"&lt;="&amp;AF$61,'300'!$D:$D,"&lt;"&amp;0)+sumifs('600.VPA'!$D:$D,'600.VPA'!$B:$B,$D84,'600.VPA'!$A:$A,"&gt;="&amp;AF$60,'600.VPA'!$A:$A,"&lt;="&amp;AF$61,'600.VPA'!$D:$D,"&lt;"&amp;0)</f>
        <v>0</v>
      </c>
      <c r="AG84" s="168">
        <f>sumifs(Boss!$D:$D,Boss!$B:$B,$D84,Boss!$A:$A,"&gt;="&amp;AG$60,Boss!$A:$A,"&lt;="&amp;AG$61,Boss!$D:$D,"&gt;"&amp;0)+sumifs(VPA.Director!$D:$D,VPA.Director!$B:$B,$D84,VPA.Director!$A:$A,"&gt;="&amp;AG$60,VPA.Director!$A:$A,"&lt;="&amp;AG$61,VPA.Director!$D:$D,"&gt;"&amp;0)+sumifs(ADC.Director!$D:$D,ADC.Director!$B:$B,$D84,ADC.Director!$A:$A,"&gt;="&amp;AG$60,ADC.Director!$A:$A,"&lt;="&amp;AG$61,ADC.Director!$D:$D,"&gt;"&amp;0)+sumifs('000'!$D:$D,'000'!$B:$B,$D84,'000'!$A:$A,"&gt;="&amp;AG$60,'000'!$A:$A,"&lt;="&amp;AG$61,'000'!$D:$D,"&gt;"&amp;0)+sumifs('500'!$D:$D,'500'!$B:$B,$D84,'500'!$A:$A,"&gt;="&amp;AG$60,'500'!$A:$A,"&lt;="&amp;AG$60,'500'!$D:$D,"&gt;"&amp;0)+sumifs('300'!$D:$D,'300'!$B:$B,$D84,'300'!$A:$A,"&gt;="&amp;AG$60,'300'!$A:$A,"&lt;="&amp;AG$61,'300'!$D:$D,"&gt;"&amp;0)+sumifs('600.VPA'!$D:$D,'600.VPA'!$B:$B,$D84,'600.VPA'!$A:$A,"&gt;="&amp;AG$60,'600.VPA'!$A:$A,"&lt;="&amp;AG$61,'600.VPA'!$D:$D,"&gt;"&amp;0)</f>
        <v>0</v>
      </c>
      <c r="AH84" s="169">
        <f t="shared" ref="AH84:AI84" si="22">sum(I84,K84,M84,O84,Q84,S84,V84,X84,Z84,AB84,AD84,AF84)</f>
        <v>0</v>
      </c>
      <c r="AI84" s="170">
        <f t="shared" si="22"/>
        <v>0</v>
      </c>
      <c r="AJ84" s="169">
        <f t="shared" si="4"/>
        <v>0</v>
      </c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</row>
    <row r="85">
      <c r="A85" s="86"/>
      <c r="B85" s="163"/>
      <c r="D85" s="165" t="s">
        <v>115</v>
      </c>
      <c r="E85" s="166" t="s">
        <v>24</v>
      </c>
      <c r="F85" s="165" t="s">
        <v>160</v>
      </c>
      <c r="G85" s="165" t="s">
        <v>117</v>
      </c>
      <c r="H85" s="165" t="s">
        <v>158</v>
      </c>
      <c r="I85" s="167">
        <f>sumifs(Boss!$D:$D,Boss!$B:$B,$D85,Boss!$A:$A,"&gt;="&amp;I$60,Boss!$A:$A,"&lt;="&amp;I$61,Boss!$D:$D,"&lt;"&amp;0)+sumifs(VPA.Director!$D:$D,VPA.Director!$B:$B,$D85,VPA.Director!$A:$A,"&gt;="&amp;I$60,VPA.Director!$A:$A,"&lt;="&amp;I$61,VPA.Director!$D:$D,"&lt;"&amp;0)+sumifs(ADC.Director!$D:$D,ADC.Director!$B:$B,$D85,ADC.Director!$A:$A,"&gt;="&amp;I$60,ADC.Director!$A:$A,"&lt;="&amp;I$61,ADC.Director!$D:$D,"&lt;"&amp;0)+sumifs('000'!$D:$D,'000'!$B:$B,$D85,'000'!$A:$A,"&gt;="&amp;I$60,'000'!$A:$A,"&lt;="&amp;I$61,'000'!$D:$D,"&lt;"&amp;0)+sumifs('500'!$D:$D,'500'!$B:$B,$D85,'500'!$A:$A,"&gt;="&amp;I$60,'500'!$A:$A,"&lt;="&amp;I$61,'500'!$D:$D,"&lt;"&amp;0)+sumifs('300'!$D:$D,'300'!$B:$B,$D85,'300'!$A:$A,"&gt;="&amp;I$60,'300'!$A:$A,"&lt;="&amp;I$61,'300'!$D:$D,"&lt;"&amp;0)+sumifs('600.VPA'!$D:$D,'600.VPA'!$B:$B,$D85,'600.VPA'!$A:$A,"&gt;="&amp;I$60,'600.VPA'!$A:$A,"&lt;="&amp;I$61,'600.VPA'!$D:$D,"&lt;"&amp;0)</f>
        <v>0</v>
      </c>
      <c r="J85" s="168">
        <f>sumifs(Boss!$D:$D,Boss!$B:$B,$D85,Boss!$A:$A,"&gt;="&amp;J$60,Boss!$A:$A,"&lt;="&amp;J$61,Boss!$D:$D,"&gt;"&amp;0)+sumifs(VPA.Director!$D:$D,VPA.Director!$B:$B,$D85,VPA.Director!$A:$A,"&gt;="&amp;J$60,VPA.Director!$A:$A,"&lt;="&amp;J$61,VPA.Director!$D:$D,"&gt;"&amp;0)+sumifs(ADC.Director!$D:$D,ADC.Director!$B:$B,$D85,ADC.Director!$A:$A,"&gt;="&amp;J$60,ADC.Director!$A:$A,"&lt;="&amp;J$61,ADC.Director!$D:$D,"&gt;"&amp;0)+sumifs('000'!$D:$D,'000'!$B:$B,$D85,'000'!$A:$A,"&gt;="&amp;J$60,'000'!$A:$A,"&lt;="&amp;J$61,'000'!$D:$D,"&gt;"&amp;0)+sumifs('500'!$D:$D,'500'!$B:$B,$D85,'500'!$A:$A,"&gt;="&amp;J$60,'500'!$A:$A,"&lt;="&amp;J$60,'500'!$D:$D,"&gt;"&amp;0)+sumifs('300'!$D:$D,'300'!$B:$B,$D85,'300'!$A:$A,"&gt;="&amp;J$60,'300'!$A:$A,"&lt;="&amp;J$61,'300'!$D:$D,"&gt;"&amp;0)+sumifs('600.VPA'!$D:$D,'600.VPA'!$B:$B,$D85,'600.VPA'!$A:$A,"&gt;="&amp;J$60,'600.VPA'!$A:$A,"&lt;="&amp;J$61,'600.VPA'!$D:$D,"&gt;"&amp;0)</f>
        <v>0</v>
      </c>
      <c r="K85" s="167">
        <f>sumifs(Boss!$D:$D,Boss!$B:$B,$D85,Boss!$A:$A,"&gt;="&amp;K$60,Boss!$A:$A,"&lt;="&amp;K$61,Boss!$D:$D,"&lt;"&amp;0)+sumifs(VPA.Director!$D:$D,VPA.Director!$B:$B,$D85,VPA.Director!$A:$A,"&gt;="&amp;K$60,VPA.Director!$A:$A,"&lt;="&amp;K$61,VPA.Director!$D:$D,"&lt;"&amp;0)+sumifs(ADC.Director!$D:$D,ADC.Director!$B:$B,$D85,ADC.Director!$A:$A,"&gt;="&amp;K$60,ADC.Director!$A:$A,"&lt;="&amp;K$61,ADC.Director!$D:$D,"&lt;"&amp;0)+sumifs('000'!$D:$D,'000'!$B:$B,$D85,'000'!$A:$A,"&gt;="&amp;K$60,'000'!$A:$A,"&lt;="&amp;K$61,'000'!$D:$D,"&lt;"&amp;0)+sumifs('500'!$D:$D,'500'!$B:$B,$D85,'500'!$A:$A,"&gt;="&amp;K$60,'500'!$A:$A,"&lt;="&amp;K$61,'500'!$D:$D,"&lt;"&amp;0)+sumifs('300'!$D:$D,'300'!$B:$B,$D85,'300'!$A:$A,"&gt;="&amp;K$60,'300'!$A:$A,"&lt;="&amp;K$61,'300'!$D:$D,"&lt;"&amp;0)+sumifs('600.VPA'!$D:$D,'600.VPA'!$B:$B,$D85,'600.VPA'!$A:$A,"&gt;="&amp;K$60,'600.VPA'!$A:$A,"&lt;="&amp;K$61,'600.VPA'!$D:$D,"&lt;"&amp;0)</f>
        <v>0</v>
      </c>
      <c r="L85" s="168">
        <f>sumifs(Boss!$D:$D,Boss!$B:$B,$D85,Boss!$A:$A,"&gt;="&amp;L$60,Boss!$A:$A,"&lt;="&amp;L$61,Boss!$D:$D,"&gt;"&amp;0)+sumifs(VPA.Director!$D:$D,VPA.Director!$B:$B,$D85,VPA.Director!$A:$A,"&gt;="&amp;L$60,VPA.Director!$A:$A,"&lt;="&amp;L$61,VPA.Director!$D:$D,"&gt;"&amp;0)+sumifs(ADC.Director!$D:$D,ADC.Director!$B:$B,$D85,ADC.Director!$A:$A,"&gt;="&amp;L$60,ADC.Director!$A:$A,"&lt;="&amp;L$61,ADC.Director!$D:$D,"&gt;"&amp;0)+sumifs('000'!$D:$D,'000'!$B:$B,$D85,'000'!$A:$A,"&gt;="&amp;L$60,'000'!$A:$A,"&lt;="&amp;L$61,'000'!$D:$D,"&gt;"&amp;0)+sumifs('500'!$D:$D,'500'!$B:$B,$D85,'500'!$A:$A,"&gt;="&amp;L$60,'500'!$A:$A,"&lt;="&amp;L$60,'500'!$D:$D,"&gt;"&amp;0)+sumifs('300'!$D:$D,'300'!$B:$B,$D85,'300'!$A:$A,"&gt;="&amp;L$60,'300'!$A:$A,"&lt;="&amp;L$61,'300'!$D:$D,"&gt;"&amp;0)+sumifs('600.VPA'!$D:$D,'600.VPA'!$B:$B,$D85,'600.VPA'!$A:$A,"&gt;="&amp;L$60,'600.VPA'!$A:$A,"&lt;="&amp;L$61,'600.VPA'!$D:$D,"&gt;"&amp;0)</f>
        <v>0</v>
      </c>
      <c r="M85" s="167">
        <f>sumifs(Boss!$D:$D,Boss!$B:$B,$D85,Boss!$A:$A,"&gt;="&amp;M$60,Boss!$A:$A,"&lt;="&amp;M$61,Boss!$D:$D,"&lt;"&amp;0)+sumifs(VPA.Director!$D:$D,VPA.Director!$B:$B,$D85,VPA.Director!$A:$A,"&gt;="&amp;M$60,VPA.Director!$A:$A,"&lt;="&amp;M$61,VPA.Director!$D:$D,"&lt;"&amp;0)+sumifs(ADC.Director!$D:$D,ADC.Director!$B:$B,$D85,ADC.Director!$A:$A,"&gt;="&amp;M$60,ADC.Director!$A:$A,"&lt;="&amp;M$61,ADC.Director!$D:$D,"&lt;"&amp;0)+sumifs('000'!$D:$D,'000'!$B:$B,$D85,'000'!$A:$A,"&gt;="&amp;M$60,'000'!$A:$A,"&lt;="&amp;M$61,'000'!$D:$D,"&lt;"&amp;0)+sumifs('500'!$D:$D,'500'!$B:$B,$D85,'500'!$A:$A,"&gt;="&amp;M$60,'500'!$A:$A,"&lt;="&amp;M$61,'500'!$D:$D,"&lt;"&amp;0)+sumifs('300'!$D:$D,'300'!$B:$B,$D85,'300'!$A:$A,"&gt;="&amp;M$60,'300'!$A:$A,"&lt;="&amp;M$61,'300'!$D:$D,"&lt;"&amp;0)+sumifs('600.VPA'!$D:$D,'600.VPA'!$B:$B,$D85,'600.VPA'!$A:$A,"&gt;="&amp;M$60,'600.VPA'!$A:$A,"&lt;="&amp;M$61,'600.VPA'!$D:$D,"&lt;"&amp;0)</f>
        <v>0</v>
      </c>
      <c r="N85" s="168">
        <f>sumifs(Boss!$D:$D,Boss!$B:$B,$D85,Boss!$A:$A,"&gt;="&amp;N$60,Boss!$A:$A,"&lt;="&amp;N$61,Boss!$D:$D,"&gt;"&amp;0)+sumifs(VPA.Director!$D:$D,VPA.Director!$B:$B,$D85,VPA.Director!$A:$A,"&gt;="&amp;N$60,VPA.Director!$A:$A,"&lt;="&amp;N$61,VPA.Director!$D:$D,"&gt;"&amp;0)+sumifs(ADC.Director!$D:$D,ADC.Director!$B:$B,$D85,ADC.Director!$A:$A,"&gt;="&amp;N$60,ADC.Director!$A:$A,"&lt;="&amp;N$61,ADC.Director!$D:$D,"&gt;"&amp;0)+sumifs('000'!$D:$D,'000'!$B:$B,$D85,'000'!$A:$A,"&gt;="&amp;N$60,'000'!$A:$A,"&lt;="&amp;N$61,'000'!$D:$D,"&gt;"&amp;0)+sumifs('500'!$D:$D,'500'!$B:$B,$D85,'500'!$A:$A,"&gt;="&amp;N$60,'500'!$A:$A,"&lt;="&amp;N$60,'500'!$D:$D,"&gt;"&amp;0)+sumifs('300'!$D:$D,'300'!$B:$B,$D85,'300'!$A:$A,"&gt;="&amp;N$60,'300'!$A:$A,"&lt;="&amp;N$61,'300'!$D:$D,"&gt;"&amp;0)+sumifs('600.VPA'!$D:$D,'600.VPA'!$B:$B,$D85,'600.VPA'!$A:$A,"&gt;="&amp;N$60,'600.VPA'!$A:$A,"&lt;="&amp;N$61,'600.VPA'!$D:$D,"&gt;"&amp;0)</f>
        <v>0</v>
      </c>
      <c r="O85" s="167">
        <f>sumifs(Boss!$D:$D,Boss!$B:$B,$D85,Boss!$A:$A,"&gt;="&amp;O$60,Boss!$A:$A,"&lt;="&amp;O$61,Boss!$D:$D,"&lt;"&amp;0)+sumifs(VPA.Director!$D:$D,VPA.Director!$B:$B,$D85,VPA.Director!$A:$A,"&gt;="&amp;O$60,VPA.Director!$A:$A,"&lt;="&amp;O$61,VPA.Director!$D:$D,"&lt;"&amp;0)+sumifs(ADC.Director!$D:$D,ADC.Director!$B:$B,$D85,ADC.Director!$A:$A,"&gt;="&amp;O$60,ADC.Director!$A:$A,"&lt;="&amp;O$61,ADC.Director!$D:$D,"&lt;"&amp;0)+sumifs('000'!$D:$D,'000'!$B:$B,$D85,'000'!$A:$A,"&gt;="&amp;O$60,'000'!$A:$A,"&lt;="&amp;O$61,'000'!$D:$D,"&lt;"&amp;0)+sumifs('500'!$D:$D,'500'!$B:$B,$D85,'500'!$A:$A,"&gt;="&amp;O$60,'500'!$A:$A,"&lt;="&amp;O$61,'500'!$D:$D,"&lt;"&amp;0)+sumifs('300'!$D:$D,'300'!$B:$B,$D85,'300'!$A:$A,"&gt;="&amp;O$60,'300'!$A:$A,"&lt;="&amp;O$61,'300'!$D:$D,"&lt;"&amp;0)+sumifs('600.VPA'!$D:$D,'600.VPA'!$B:$B,$D85,'600.VPA'!$A:$A,"&gt;="&amp;O$60,'600.VPA'!$A:$A,"&lt;="&amp;O$61,'600.VPA'!$D:$D,"&lt;"&amp;0)</f>
        <v>0</v>
      </c>
      <c r="P85" s="168">
        <f>sumifs(Boss!$D:$D,Boss!$B:$B,$D85,Boss!$A:$A,"&gt;="&amp;P$60,Boss!$A:$A,"&lt;="&amp;P$61,Boss!$D:$D,"&gt;"&amp;0)+sumifs(VPA.Director!$D:$D,VPA.Director!$B:$B,$D85,VPA.Director!$A:$A,"&gt;="&amp;P$60,VPA.Director!$A:$A,"&lt;="&amp;P$61,VPA.Director!$D:$D,"&gt;"&amp;0)+sumifs(ADC.Director!$D:$D,ADC.Director!$B:$B,$D85,ADC.Director!$A:$A,"&gt;="&amp;P$60,ADC.Director!$A:$A,"&lt;="&amp;P$61,ADC.Director!$D:$D,"&gt;"&amp;0)+sumifs('000'!$D:$D,'000'!$B:$B,$D85,'000'!$A:$A,"&gt;="&amp;P$60,'000'!$A:$A,"&lt;="&amp;P$61,'000'!$D:$D,"&gt;"&amp;0)+sumifs('500'!$D:$D,'500'!$B:$B,$D85,'500'!$A:$A,"&gt;="&amp;P$60,'500'!$A:$A,"&lt;="&amp;P$60,'500'!$D:$D,"&gt;"&amp;0)+sumifs('300'!$D:$D,'300'!$B:$B,$D85,'300'!$A:$A,"&gt;="&amp;P$60,'300'!$A:$A,"&lt;="&amp;P$61,'300'!$D:$D,"&gt;"&amp;0)+sumifs('600.VPA'!$D:$D,'600.VPA'!$B:$B,$D85,'600.VPA'!$A:$A,"&gt;="&amp;P$60,'600.VPA'!$A:$A,"&lt;="&amp;P$61,'600.VPA'!$D:$D,"&gt;"&amp;0)</f>
        <v>0</v>
      </c>
      <c r="Q85" s="167">
        <f>sumifs(Boss!$D:$D,Boss!$B:$B,$D85,Boss!$A:$A,"&gt;="&amp;Q$60,Boss!$A:$A,"&lt;="&amp;Q$61,Boss!$D:$D,"&lt;"&amp;0)+sumifs(VPA.Director!$D:$D,VPA.Director!$B:$B,$D85,VPA.Director!$A:$A,"&gt;="&amp;Q$60,VPA.Director!$A:$A,"&lt;="&amp;Q$61,VPA.Director!$D:$D,"&lt;"&amp;0)+sumifs(ADC.Director!$D:$D,ADC.Director!$B:$B,$D85,ADC.Director!$A:$A,"&gt;="&amp;Q$60,ADC.Director!$A:$A,"&lt;="&amp;Q$61,ADC.Director!$D:$D,"&lt;"&amp;0)+sumifs('000'!$D:$D,'000'!$B:$B,$D85,'000'!$A:$A,"&gt;="&amp;Q$60,'000'!$A:$A,"&lt;="&amp;Q$61,'000'!$D:$D,"&lt;"&amp;0)+sumifs('500'!$D:$D,'500'!$B:$B,$D85,'500'!$A:$A,"&gt;="&amp;Q$60,'500'!$A:$A,"&lt;="&amp;Q$61,'500'!$D:$D,"&lt;"&amp;0)+sumifs('300'!$D:$D,'300'!$B:$B,$D85,'300'!$A:$A,"&gt;="&amp;Q$60,'300'!$A:$A,"&lt;="&amp;Q$61,'300'!$D:$D,"&lt;"&amp;0)+sumifs('600.VPA'!$D:$D,'600.VPA'!$B:$B,$D85,'600.VPA'!$A:$A,"&gt;="&amp;Q$60,'600.VPA'!$A:$A,"&lt;="&amp;Q$61,'600.VPA'!$D:$D,"&lt;"&amp;0)</f>
        <v>0</v>
      </c>
      <c r="R85" s="168">
        <f>sumifs(Boss!$D:$D,Boss!$B:$B,$D85,Boss!$A:$A,"&gt;="&amp;R$60,Boss!$A:$A,"&lt;="&amp;R$61,Boss!$D:$D,"&gt;"&amp;0)+sumifs(VPA.Director!$D:$D,VPA.Director!$B:$B,$D85,VPA.Director!$A:$A,"&gt;="&amp;R$60,VPA.Director!$A:$A,"&lt;="&amp;R$61,VPA.Director!$D:$D,"&gt;"&amp;0)+sumifs(ADC.Director!$D:$D,ADC.Director!$B:$B,$D85,ADC.Director!$A:$A,"&gt;="&amp;R$60,ADC.Director!$A:$A,"&lt;="&amp;R$61,ADC.Director!$D:$D,"&gt;"&amp;0)+sumifs('000'!$D:$D,'000'!$B:$B,$D85,'000'!$A:$A,"&gt;="&amp;R$60,'000'!$A:$A,"&lt;="&amp;R$61,'000'!$D:$D,"&gt;"&amp;0)+sumifs('500'!$D:$D,'500'!$B:$B,$D85,'500'!$A:$A,"&gt;="&amp;R$60,'500'!$A:$A,"&lt;="&amp;R$60,'500'!$D:$D,"&gt;"&amp;0)+sumifs('300'!$D:$D,'300'!$B:$B,$D85,'300'!$A:$A,"&gt;="&amp;R$60,'300'!$A:$A,"&lt;="&amp;R$61,'300'!$D:$D,"&gt;"&amp;0)+sumifs('600.VPA'!$D:$D,'600.VPA'!$B:$B,$D85,'600.VPA'!$A:$A,"&gt;="&amp;R$60,'600.VPA'!$A:$A,"&lt;="&amp;R$61,'600.VPA'!$D:$D,"&gt;"&amp;0)</f>
        <v>0</v>
      </c>
      <c r="S85" s="167">
        <f>sumifs(Boss!$D:$D,Boss!$B:$B,$D85,Boss!$A:$A,"&gt;="&amp;S$60,Boss!$A:$A,"&lt;="&amp;S$61,Boss!$D:$D,"&lt;"&amp;0)+sumifs(VPA.Director!$D:$D,VPA.Director!$B:$B,$D85,VPA.Director!$A:$A,"&gt;="&amp;S$60,VPA.Director!$A:$A,"&lt;="&amp;S$61,VPA.Director!$D:$D,"&lt;"&amp;0)+sumifs(ADC.Director!$D:$D,ADC.Director!$B:$B,$D85,ADC.Director!$A:$A,"&gt;="&amp;S$60,ADC.Director!$A:$A,"&lt;="&amp;S$61,ADC.Director!$D:$D,"&lt;"&amp;0)+sumifs('000'!$D:$D,'000'!$B:$B,$D85,'000'!$A:$A,"&gt;="&amp;S$60,'000'!$A:$A,"&lt;="&amp;S$61,'000'!$D:$D,"&lt;"&amp;0)+sumifs('500'!$D:$D,'500'!$B:$B,$D85,'500'!$A:$A,"&gt;="&amp;S$60,'500'!$A:$A,"&lt;="&amp;S$61,'500'!$D:$D,"&lt;"&amp;0)+sumifs('300'!$D:$D,'300'!$B:$B,$D85,'300'!$A:$A,"&gt;="&amp;S$60,'300'!$A:$A,"&lt;="&amp;S$61,'300'!$D:$D,"&lt;"&amp;0)+sumifs('600.VPA'!$D:$D,'600.VPA'!$B:$B,$D85,'600.VPA'!$A:$A,"&gt;="&amp;S$60,'600.VPA'!$A:$A,"&lt;="&amp;S$61,'600.VPA'!$D:$D,"&lt;"&amp;0)</f>
        <v>0</v>
      </c>
      <c r="T85" s="168">
        <f>sumifs(Boss!$D:$D,Boss!$B:$B,$D85,Boss!$A:$A,"&gt;="&amp;T$60,Boss!$A:$A,"&lt;="&amp;T$61,Boss!$D:$D,"&gt;"&amp;0)+sumifs(VPA.Director!$D:$D,VPA.Director!$B:$B,$D85,VPA.Director!$A:$A,"&gt;="&amp;T$60,VPA.Director!$A:$A,"&lt;="&amp;T$61,VPA.Director!$D:$D,"&gt;"&amp;0)+sumifs(ADC.Director!$D:$D,ADC.Director!$B:$B,$D85,ADC.Director!$A:$A,"&gt;="&amp;T$60,ADC.Director!$A:$A,"&lt;="&amp;T$61,ADC.Director!$D:$D,"&gt;"&amp;0)+sumifs('000'!$D:$D,'000'!$B:$B,$D85,'000'!$A:$A,"&gt;="&amp;T$60,'000'!$A:$A,"&lt;="&amp;T$61,'000'!$D:$D,"&gt;"&amp;0)+sumifs('500'!$D:$D,'500'!$B:$B,$D85,'500'!$A:$A,"&gt;="&amp;T$60,'500'!$A:$A,"&lt;="&amp;T$60,'500'!$D:$D,"&gt;"&amp;0)+sumifs('300'!$D:$D,'300'!$B:$B,$D85,'300'!$A:$A,"&gt;="&amp;T$60,'300'!$A:$A,"&lt;="&amp;T$61,'300'!$D:$D,"&gt;"&amp;0)+sumifs('600.VPA'!$D:$D,'600.VPA'!$B:$B,$D85,'600.VPA'!$A:$A,"&gt;="&amp;T$60,'600.VPA'!$A:$A,"&lt;="&amp;T$61,'600.VPA'!$D:$D,"&gt;"&amp;0)</f>
        <v>0</v>
      </c>
      <c r="U85" s="163"/>
      <c r="V85" s="167">
        <f>sumifs(Boss!$D:$D,Boss!$B:$B,$D85,Boss!$A:$A,"&gt;="&amp;V$60,Boss!$A:$A,"&lt;="&amp;V$61,Boss!$D:$D,"&lt;"&amp;0)+sumifs(VPA.Director!$D:$D,VPA.Director!$B:$B,$D85,VPA.Director!$A:$A,"&gt;="&amp;V$60,VPA.Director!$A:$A,"&lt;="&amp;V$61,VPA.Director!$D:$D,"&lt;"&amp;0)+sumifs(ADC.Director!$D:$D,ADC.Director!$B:$B,$D85,ADC.Director!$A:$A,"&gt;="&amp;V$60,ADC.Director!$A:$A,"&lt;="&amp;V$61,ADC.Director!$D:$D,"&lt;"&amp;0)+sumifs('000'!$D:$D,'000'!$B:$B,$D85,'000'!$A:$A,"&gt;="&amp;V$60,'000'!$A:$A,"&lt;="&amp;V$61,'000'!$D:$D,"&lt;"&amp;0)+sumifs('500'!$D:$D,'500'!$B:$B,$D85,'500'!$A:$A,"&gt;="&amp;V$60,'500'!$A:$A,"&lt;="&amp;V$61,'500'!$D:$D,"&lt;"&amp;0)+sumifs('300'!$D:$D,'300'!$B:$B,$D85,'300'!$A:$A,"&gt;="&amp;V$60,'300'!$A:$A,"&lt;="&amp;V$61,'300'!$D:$D,"&lt;"&amp;0)+sumifs('600.VPA'!$D:$D,'600.VPA'!$B:$B,$D85,'600.VPA'!$A:$A,"&gt;="&amp;V$60,'600.VPA'!$A:$A,"&lt;="&amp;V$61,'600.VPA'!$D:$D,"&lt;"&amp;0)</f>
        <v>0</v>
      </c>
      <c r="W85" s="168">
        <f>sumifs(Boss!$D:$D,Boss!$B:$B,$D85,Boss!$A:$A,"&gt;="&amp;W$60,Boss!$A:$A,"&lt;="&amp;W$61,Boss!$D:$D,"&gt;"&amp;0)+sumifs(VPA.Director!$D:$D,VPA.Director!$B:$B,$D85,VPA.Director!$A:$A,"&gt;="&amp;W$60,VPA.Director!$A:$A,"&lt;="&amp;W$61,VPA.Director!$D:$D,"&gt;"&amp;0)+sumifs(ADC.Director!$D:$D,ADC.Director!$B:$B,$D85,ADC.Director!$A:$A,"&gt;="&amp;W$60,ADC.Director!$A:$A,"&lt;="&amp;W$61,ADC.Director!$D:$D,"&gt;"&amp;0)+sumifs('000'!$D:$D,'000'!$B:$B,$D85,'000'!$A:$A,"&gt;="&amp;W$60,'000'!$A:$A,"&lt;="&amp;W$61,'000'!$D:$D,"&gt;"&amp;0)+sumifs('500'!$D:$D,'500'!$B:$B,$D85,'500'!$A:$A,"&gt;="&amp;W$60,'500'!$A:$A,"&lt;="&amp;W$60,'500'!$D:$D,"&gt;"&amp;0)+sumifs('300'!$D:$D,'300'!$B:$B,$D85,'300'!$A:$A,"&gt;="&amp;W$60,'300'!$A:$A,"&lt;="&amp;W$61,'300'!$D:$D,"&gt;"&amp;0)+sumifs('600.VPA'!$D:$D,'600.VPA'!$B:$B,$D85,'600.VPA'!$A:$A,"&gt;="&amp;W$60,'600.VPA'!$A:$A,"&lt;="&amp;W$61,'600.VPA'!$D:$D,"&gt;"&amp;0)</f>
        <v>0</v>
      </c>
      <c r="X85" s="167">
        <f>sumifs(Boss!$D:$D,Boss!$B:$B,$D85,Boss!$A:$A,"&gt;="&amp;X$60,Boss!$A:$A,"&lt;="&amp;X$61,Boss!$D:$D,"&lt;"&amp;0)+sumifs(VPA.Director!$D:$D,VPA.Director!$B:$B,$D85,VPA.Director!$A:$A,"&gt;="&amp;X$60,VPA.Director!$A:$A,"&lt;="&amp;X$61,VPA.Director!$D:$D,"&lt;"&amp;0)+sumifs(ADC.Director!$D:$D,ADC.Director!$B:$B,$D85,ADC.Director!$A:$A,"&gt;="&amp;X$60,ADC.Director!$A:$A,"&lt;="&amp;X$61,ADC.Director!$D:$D,"&lt;"&amp;0)+sumifs('000'!$D:$D,'000'!$B:$B,$D85,'000'!$A:$A,"&gt;="&amp;X$60,'000'!$A:$A,"&lt;="&amp;X$61,'000'!$D:$D,"&lt;"&amp;0)+sumifs('500'!$D:$D,'500'!$B:$B,$D85,'500'!$A:$A,"&gt;="&amp;X$60,'500'!$A:$A,"&lt;="&amp;X$61,'500'!$D:$D,"&lt;"&amp;0)+sumifs('300'!$D:$D,'300'!$B:$B,$D85,'300'!$A:$A,"&gt;="&amp;X$60,'300'!$A:$A,"&lt;="&amp;X$61,'300'!$D:$D,"&lt;"&amp;0)+sumifs('600.VPA'!$D:$D,'600.VPA'!$B:$B,$D85,'600.VPA'!$A:$A,"&gt;="&amp;X$60,'600.VPA'!$A:$A,"&lt;="&amp;X$61,'600.VPA'!$D:$D,"&lt;"&amp;0)</f>
        <v>0</v>
      </c>
      <c r="Y85" s="168">
        <f>sumifs(Boss!$D:$D,Boss!$B:$B,$D85,Boss!$A:$A,"&gt;="&amp;Y$60,Boss!$A:$A,"&lt;="&amp;Y$61,Boss!$D:$D,"&gt;"&amp;0)+sumifs(VPA.Director!$D:$D,VPA.Director!$B:$B,$D85,VPA.Director!$A:$A,"&gt;="&amp;Y$60,VPA.Director!$A:$A,"&lt;="&amp;Y$61,VPA.Director!$D:$D,"&gt;"&amp;0)+sumifs(ADC.Director!$D:$D,ADC.Director!$B:$B,$D85,ADC.Director!$A:$A,"&gt;="&amp;Y$60,ADC.Director!$A:$A,"&lt;="&amp;Y$61,ADC.Director!$D:$D,"&gt;"&amp;0)+sumifs('000'!$D:$D,'000'!$B:$B,$D85,'000'!$A:$A,"&gt;="&amp;Y$60,'000'!$A:$A,"&lt;="&amp;Y$61,'000'!$D:$D,"&gt;"&amp;0)+sumifs('500'!$D:$D,'500'!$B:$B,$D85,'500'!$A:$A,"&gt;="&amp;Y$60,'500'!$A:$A,"&lt;="&amp;Y$60,'500'!$D:$D,"&gt;"&amp;0)+sumifs('300'!$D:$D,'300'!$B:$B,$D85,'300'!$A:$A,"&gt;="&amp;Y$60,'300'!$A:$A,"&lt;="&amp;Y$61,'300'!$D:$D,"&gt;"&amp;0)+sumifs('600.VPA'!$D:$D,'600.VPA'!$B:$B,$D85,'600.VPA'!$A:$A,"&gt;="&amp;Y$60,'600.VPA'!$A:$A,"&lt;="&amp;Y$61,'600.VPA'!$D:$D,"&gt;"&amp;0)</f>
        <v>0</v>
      </c>
      <c r="Z85" s="167">
        <f>sumifs(Boss!$D:$D,Boss!$B:$B,$D85,Boss!$A:$A,"&gt;="&amp;Z$60,Boss!$A:$A,"&lt;="&amp;Z$61,Boss!$D:$D,"&lt;"&amp;0)+sumifs(VPA.Director!$D:$D,VPA.Director!$B:$B,$D85,VPA.Director!$A:$A,"&gt;="&amp;Z$60,VPA.Director!$A:$A,"&lt;="&amp;Z$61,VPA.Director!$D:$D,"&lt;"&amp;0)+sumifs(ADC.Director!$D:$D,ADC.Director!$B:$B,$D85,ADC.Director!$A:$A,"&gt;="&amp;Z$60,ADC.Director!$A:$A,"&lt;="&amp;Z$61,ADC.Director!$D:$D,"&lt;"&amp;0)+sumifs('000'!$D:$D,'000'!$B:$B,$D85,'000'!$A:$A,"&gt;="&amp;Z$60,'000'!$A:$A,"&lt;="&amp;Z$61,'000'!$D:$D,"&lt;"&amp;0)+sumifs('500'!$D:$D,'500'!$B:$B,$D85,'500'!$A:$A,"&gt;="&amp;Z$60,'500'!$A:$A,"&lt;="&amp;Z$61,'500'!$D:$D,"&lt;"&amp;0)+sumifs('300'!$D:$D,'300'!$B:$B,$D85,'300'!$A:$A,"&gt;="&amp;Z$60,'300'!$A:$A,"&lt;="&amp;Z$61,'300'!$D:$D,"&lt;"&amp;0)+sumifs('600.VPA'!$D:$D,'600.VPA'!$B:$B,$D85,'600.VPA'!$A:$A,"&gt;="&amp;Z$60,'600.VPA'!$A:$A,"&lt;="&amp;Z$61,'600.VPA'!$D:$D,"&lt;"&amp;0)</f>
        <v>0</v>
      </c>
      <c r="AA85" s="168">
        <f>sumifs(Boss!$D:$D,Boss!$B:$B,$D85,Boss!$A:$A,"&gt;="&amp;AA$60,Boss!$A:$A,"&lt;="&amp;AA$61,Boss!$D:$D,"&gt;"&amp;0)+sumifs(VPA.Director!$D:$D,VPA.Director!$B:$B,$D85,VPA.Director!$A:$A,"&gt;="&amp;AA$60,VPA.Director!$A:$A,"&lt;="&amp;AA$61,VPA.Director!$D:$D,"&gt;"&amp;0)+sumifs(ADC.Director!$D:$D,ADC.Director!$B:$B,$D85,ADC.Director!$A:$A,"&gt;="&amp;AA$60,ADC.Director!$A:$A,"&lt;="&amp;AA$61,ADC.Director!$D:$D,"&gt;"&amp;0)+sumifs('000'!$D:$D,'000'!$B:$B,$D85,'000'!$A:$A,"&gt;="&amp;AA$60,'000'!$A:$A,"&lt;="&amp;AA$61,'000'!$D:$D,"&gt;"&amp;0)+sumifs('500'!$D:$D,'500'!$B:$B,$D85,'500'!$A:$A,"&gt;="&amp;AA$60,'500'!$A:$A,"&lt;="&amp;AA$60,'500'!$D:$D,"&gt;"&amp;0)+sumifs('300'!$D:$D,'300'!$B:$B,$D85,'300'!$A:$A,"&gt;="&amp;AA$60,'300'!$A:$A,"&lt;="&amp;AA$61,'300'!$D:$D,"&gt;"&amp;0)+sumifs('600.VPA'!$D:$D,'600.VPA'!$B:$B,$D85,'600.VPA'!$A:$A,"&gt;="&amp;AA$60,'600.VPA'!$A:$A,"&lt;="&amp;AA$61,'600.VPA'!$D:$D,"&gt;"&amp;0)</f>
        <v>0</v>
      </c>
      <c r="AB85" s="167">
        <f>sumifs(Boss!$D:$D,Boss!$B:$B,$D85,Boss!$A:$A,"&gt;="&amp;AB$60,Boss!$A:$A,"&lt;="&amp;AB$61,Boss!$D:$D,"&lt;"&amp;0)+sumifs(VPA.Director!$D:$D,VPA.Director!$B:$B,$D85,VPA.Director!$A:$A,"&gt;="&amp;AB$60,VPA.Director!$A:$A,"&lt;="&amp;AB$61,VPA.Director!$D:$D,"&lt;"&amp;0)+sumifs(ADC.Director!$D:$D,ADC.Director!$B:$B,$D85,ADC.Director!$A:$A,"&gt;="&amp;AB$60,ADC.Director!$A:$A,"&lt;="&amp;AB$61,ADC.Director!$D:$D,"&lt;"&amp;0)+sumifs('000'!$D:$D,'000'!$B:$B,$D85,'000'!$A:$A,"&gt;="&amp;AB$60,'000'!$A:$A,"&lt;="&amp;AB$61,'000'!$D:$D,"&lt;"&amp;0)+sumifs('500'!$D:$D,'500'!$B:$B,$D85,'500'!$A:$A,"&gt;="&amp;AB$60,'500'!$A:$A,"&lt;="&amp;AB$61,'500'!$D:$D,"&lt;"&amp;0)+sumifs('300'!$D:$D,'300'!$B:$B,$D85,'300'!$A:$A,"&gt;="&amp;AB$60,'300'!$A:$A,"&lt;="&amp;AB$61,'300'!$D:$D,"&lt;"&amp;0)+sumifs('600.VPA'!$D:$D,'600.VPA'!$B:$B,$D85,'600.VPA'!$A:$A,"&gt;="&amp;AB$60,'600.VPA'!$A:$A,"&lt;="&amp;AB$61,'600.VPA'!$D:$D,"&lt;"&amp;0)</f>
        <v>0</v>
      </c>
      <c r="AC85" s="168">
        <f>sumifs(Boss!$D:$D,Boss!$B:$B,$D85,Boss!$A:$A,"&gt;="&amp;AC$60,Boss!$A:$A,"&lt;="&amp;AC$61,Boss!$D:$D,"&gt;"&amp;0)+sumifs(VPA.Director!$D:$D,VPA.Director!$B:$B,$D85,VPA.Director!$A:$A,"&gt;="&amp;AC$60,VPA.Director!$A:$A,"&lt;="&amp;AC$61,VPA.Director!$D:$D,"&gt;"&amp;0)+sumifs(ADC.Director!$D:$D,ADC.Director!$B:$B,$D85,ADC.Director!$A:$A,"&gt;="&amp;AC$60,ADC.Director!$A:$A,"&lt;="&amp;AC$61,ADC.Director!$D:$D,"&gt;"&amp;0)+sumifs('000'!$D:$D,'000'!$B:$B,$D85,'000'!$A:$A,"&gt;="&amp;AC$60,'000'!$A:$A,"&lt;="&amp;AC$61,'000'!$D:$D,"&gt;"&amp;0)+sumifs('500'!$D:$D,'500'!$B:$B,$D85,'500'!$A:$A,"&gt;="&amp;AC$60,'500'!$A:$A,"&lt;="&amp;AC$60,'500'!$D:$D,"&gt;"&amp;0)+sumifs('300'!$D:$D,'300'!$B:$B,$D85,'300'!$A:$A,"&gt;="&amp;AC$60,'300'!$A:$A,"&lt;="&amp;AC$61,'300'!$D:$D,"&gt;"&amp;0)+sumifs('600.VPA'!$D:$D,'600.VPA'!$B:$B,$D85,'600.VPA'!$A:$A,"&gt;="&amp;AC$60,'600.VPA'!$A:$A,"&lt;="&amp;AC$61,'600.VPA'!$D:$D,"&gt;"&amp;0)</f>
        <v>0</v>
      </c>
      <c r="AD85" s="167">
        <f>sumifs(Boss!$D:$D,Boss!$B:$B,$D85,Boss!$A:$A,"&gt;="&amp;AD$60,Boss!$A:$A,"&lt;="&amp;AD$61,Boss!$D:$D,"&lt;"&amp;0)+sumifs(VPA.Director!$D:$D,VPA.Director!$B:$B,$D85,VPA.Director!$A:$A,"&gt;="&amp;AD$60,VPA.Director!$A:$A,"&lt;="&amp;AD$61,VPA.Director!$D:$D,"&lt;"&amp;0)+sumifs(ADC.Director!$D:$D,ADC.Director!$B:$B,$D85,ADC.Director!$A:$A,"&gt;="&amp;AD$60,ADC.Director!$A:$A,"&lt;="&amp;AD$61,ADC.Director!$D:$D,"&lt;"&amp;0)+sumifs('000'!$D:$D,'000'!$B:$B,$D85,'000'!$A:$A,"&gt;="&amp;AD$60,'000'!$A:$A,"&lt;="&amp;AD$61,'000'!$D:$D,"&lt;"&amp;0)+sumifs('500'!$D:$D,'500'!$B:$B,$D85,'500'!$A:$A,"&gt;="&amp;AD$60,'500'!$A:$A,"&lt;="&amp;AD$61,'500'!$D:$D,"&lt;"&amp;0)+sumifs('300'!$D:$D,'300'!$B:$B,$D85,'300'!$A:$A,"&gt;="&amp;AD$60,'300'!$A:$A,"&lt;="&amp;AD$61,'300'!$D:$D,"&lt;"&amp;0)+sumifs('600.VPA'!$D:$D,'600.VPA'!$B:$B,$D85,'600.VPA'!$A:$A,"&gt;="&amp;AD$60,'600.VPA'!$A:$A,"&lt;="&amp;AD$61,'600.VPA'!$D:$D,"&lt;"&amp;0)</f>
        <v>0</v>
      </c>
      <c r="AE85" s="168">
        <f>sumifs(Boss!$D:$D,Boss!$B:$B,$D85,Boss!$A:$A,"&gt;="&amp;AE$60,Boss!$A:$A,"&lt;="&amp;AE$61,Boss!$D:$D,"&gt;"&amp;0)+sumifs(VPA.Director!$D:$D,VPA.Director!$B:$B,$D85,VPA.Director!$A:$A,"&gt;="&amp;AE$60,VPA.Director!$A:$A,"&lt;="&amp;AE$61,VPA.Director!$D:$D,"&gt;"&amp;0)+sumifs(ADC.Director!$D:$D,ADC.Director!$B:$B,$D85,ADC.Director!$A:$A,"&gt;="&amp;AE$60,ADC.Director!$A:$A,"&lt;="&amp;AE$61,ADC.Director!$D:$D,"&gt;"&amp;0)+sumifs('000'!$D:$D,'000'!$B:$B,$D85,'000'!$A:$A,"&gt;="&amp;AE$60,'000'!$A:$A,"&lt;="&amp;AE$61,'000'!$D:$D,"&gt;"&amp;0)+sumifs('500'!$D:$D,'500'!$B:$B,$D85,'500'!$A:$A,"&gt;="&amp;AE$60,'500'!$A:$A,"&lt;="&amp;AE$60,'500'!$D:$D,"&gt;"&amp;0)+sumifs('300'!$D:$D,'300'!$B:$B,$D85,'300'!$A:$A,"&gt;="&amp;AE$60,'300'!$A:$A,"&lt;="&amp;AE$61,'300'!$D:$D,"&gt;"&amp;0)+sumifs('600.VPA'!$D:$D,'600.VPA'!$B:$B,$D85,'600.VPA'!$A:$A,"&gt;="&amp;AE$60,'600.VPA'!$A:$A,"&lt;="&amp;AE$61,'600.VPA'!$D:$D,"&gt;"&amp;0)</f>
        <v>0</v>
      </c>
      <c r="AF85" s="167">
        <f>sumifs(Boss!$D:$D,Boss!$B:$B,$D85,Boss!$A:$A,"&gt;="&amp;AF$60,Boss!$A:$A,"&lt;="&amp;AF$61,Boss!$D:$D,"&lt;"&amp;0)+sumifs(VPA.Director!$D:$D,VPA.Director!$B:$B,$D85,VPA.Director!$A:$A,"&gt;="&amp;AF$60,VPA.Director!$A:$A,"&lt;="&amp;AF$61,VPA.Director!$D:$D,"&lt;"&amp;0)+sumifs(ADC.Director!$D:$D,ADC.Director!$B:$B,$D85,ADC.Director!$A:$A,"&gt;="&amp;AF$60,ADC.Director!$A:$A,"&lt;="&amp;AF$61,ADC.Director!$D:$D,"&lt;"&amp;0)+sumifs('000'!$D:$D,'000'!$B:$B,$D85,'000'!$A:$A,"&gt;="&amp;AF$60,'000'!$A:$A,"&lt;="&amp;AF$61,'000'!$D:$D,"&lt;"&amp;0)+sumifs('500'!$D:$D,'500'!$B:$B,$D85,'500'!$A:$A,"&gt;="&amp;AF$60,'500'!$A:$A,"&lt;="&amp;AF$61,'500'!$D:$D,"&lt;"&amp;0)+sumifs('300'!$D:$D,'300'!$B:$B,$D85,'300'!$A:$A,"&gt;="&amp;AF$60,'300'!$A:$A,"&lt;="&amp;AF$61,'300'!$D:$D,"&lt;"&amp;0)+sumifs('600.VPA'!$D:$D,'600.VPA'!$B:$B,$D85,'600.VPA'!$A:$A,"&gt;="&amp;AF$60,'600.VPA'!$A:$A,"&lt;="&amp;AF$61,'600.VPA'!$D:$D,"&lt;"&amp;0)</f>
        <v>0</v>
      </c>
      <c r="AG85" s="168">
        <f>sumifs(Boss!$D:$D,Boss!$B:$B,$D85,Boss!$A:$A,"&gt;="&amp;AG$60,Boss!$A:$A,"&lt;="&amp;AG$61,Boss!$D:$D,"&gt;"&amp;0)+sumifs(VPA.Director!$D:$D,VPA.Director!$B:$B,$D85,VPA.Director!$A:$A,"&gt;="&amp;AG$60,VPA.Director!$A:$A,"&lt;="&amp;AG$61,VPA.Director!$D:$D,"&gt;"&amp;0)+sumifs(ADC.Director!$D:$D,ADC.Director!$B:$B,$D85,ADC.Director!$A:$A,"&gt;="&amp;AG$60,ADC.Director!$A:$A,"&lt;="&amp;AG$61,ADC.Director!$D:$D,"&gt;"&amp;0)+sumifs('000'!$D:$D,'000'!$B:$B,$D85,'000'!$A:$A,"&gt;="&amp;AG$60,'000'!$A:$A,"&lt;="&amp;AG$61,'000'!$D:$D,"&gt;"&amp;0)+sumifs('500'!$D:$D,'500'!$B:$B,$D85,'500'!$A:$A,"&gt;="&amp;AG$60,'500'!$A:$A,"&lt;="&amp;AG$60,'500'!$D:$D,"&gt;"&amp;0)+sumifs('300'!$D:$D,'300'!$B:$B,$D85,'300'!$A:$A,"&gt;="&amp;AG$60,'300'!$A:$A,"&lt;="&amp;AG$61,'300'!$D:$D,"&gt;"&amp;0)+sumifs('600.VPA'!$D:$D,'600.VPA'!$B:$B,$D85,'600.VPA'!$A:$A,"&gt;="&amp;AG$60,'600.VPA'!$A:$A,"&lt;="&amp;AG$61,'600.VPA'!$D:$D,"&gt;"&amp;0)</f>
        <v>0</v>
      </c>
      <c r="AH85" s="169">
        <f t="shared" ref="AH85:AI85" si="23">sum(I85,K85,M85,O85,Q85,S85,V85,X85,Z85,AB85,AD85,AF85)</f>
        <v>0</v>
      </c>
      <c r="AI85" s="170">
        <f t="shared" si="23"/>
        <v>0</v>
      </c>
      <c r="AJ85" s="169">
        <f t="shared" si="4"/>
        <v>0</v>
      </c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</row>
    <row r="86">
      <c r="A86" s="86"/>
      <c r="B86" s="163"/>
      <c r="D86" s="165" t="s">
        <v>118</v>
      </c>
      <c r="E86" s="166" t="s">
        <v>25</v>
      </c>
      <c r="F86" s="165" t="s">
        <v>161</v>
      </c>
      <c r="G86" s="165" t="s">
        <v>120</v>
      </c>
      <c r="H86" s="165" t="s">
        <v>68</v>
      </c>
      <c r="I86" s="167">
        <f>sumifs(Boss!$D:$D,Boss!$B:$B,$D86,Boss!$A:$A,"&gt;="&amp;I$60,Boss!$A:$A,"&lt;="&amp;I$61,Boss!$D:$D,"&lt;"&amp;0)+sumifs(VPA.Director!$D:$D,VPA.Director!$B:$B,$D86,VPA.Director!$A:$A,"&gt;="&amp;I$60,VPA.Director!$A:$A,"&lt;="&amp;I$61,VPA.Director!$D:$D,"&lt;"&amp;0)+sumifs(ADC.Director!$D:$D,ADC.Director!$B:$B,$D86,ADC.Director!$A:$A,"&gt;="&amp;I$60,ADC.Director!$A:$A,"&lt;="&amp;I$61,ADC.Director!$D:$D,"&lt;"&amp;0)+sumifs('000'!$D:$D,'000'!$B:$B,$D86,'000'!$A:$A,"&gt;="&amp;I$60,'000'!$A:$A,"&lt;="&amp;I$61,'000'!$D:$D,"&lt;"&amp;0)+sumifs('500'!$D:$D,'500'!$B:$B,$D86,'500'!$A:$A,"&gt;="&amp;I$60,'500'!$A:$A,"&lt;="&amp;I$61,'500'!$D:$D,"&lt;"&amp;0)+sumifs('300'!$D:$D,'300'!$B:$B,$D86,'300'!$A:$A,"&gt;="&amp;I$60,'300'!$A:$A,"&lt;="&amp;I$61,'300'!$D:$D,"&lt;"&amp;0)+sumifs('600.VPA'!$D:$D,'600.VPA'!$B:$B,$D86,'600.VPA'!$A:$A,"&gt;="&amp;I$60,'600.VPA'!$A:$A,"&lt;="&amp;I$61,'600.VPA'!$D:$D,"&lt;"&amp;0)</f>
        <v>0</v>
      </c>
      <c r="J86" s="168">
        <f>sumifs(Boss!$D:$D,Boss!$B:$B,$D86,Boss!$A:$A,"&gt;="&amp;J$60,Boss!$A:$A,"&lt;="&amp;J$61,Boss!$D:$D,"&gt;"&amp;0)+sumifs(VPA.Director!$D:$D,VPA.Director!$B:$B,$D86,VPA.Director!$A:$A,"&gt;="&amp;J$60,VPA.Director!$A:$A,"&lt;="&amp;J$61,VPA.Director!$D:$D,"&gt;"&amp;0)+sumifs(ADC.Director!$D:$D,ADC.Director!$B:$B,$D86,ADC.Director!$A:$A,"&gt;="&amp;J$60,ADC.Director!$A:$A,"&lt;="&amp;J$61,ADC.Director!$D:$D,"&gt;"&amp;0)+sumifs('000'!$D:$D,'000'!$B:$B,$D86,'000'!$A:$A,"&gt;="&amp;J$60,'000'!$A:$A,"&lt;="&amp;J$61,'000'!$D:$D,"&gt;"&amp;0)+sumifs('500'!$D:$D,'500'!$B:$B,$D86,'500'!$A:$A,"&gt;="&amp;J$60,'500'!$A:$A,"&lt;="&amp;J$60,'500'!$D:$D,"&gt;"&amp;0)+sumifs('300'!$D:$D,'300'!$B:$B,$D86,'300'!$A:$A,"&gt;="&amp;J$60,'300'!$A:$A,"&lt;="&amp;J$61,'300'!$D:$D,"&gt;"&amp;0)+sumifs('600.VPA'!$D:$D,'600.VPA'!$B:$B,$D86,'600.VPA'!$A:$A,"&gt;="&amp;J$60,'600.VPA'!$A:$A,"&lt;="&amp;J$61,'600.VPA'!$D:$D,"&gt;"&amp;0)</f>
        <v>0</v>
      </c>
      <c r="K86" s="167">
        <f>sumifs(Boss!$D:$D,Boss!$B:$B,$D86,Boss!$A:$A,"&gt;="&amp;K$60,Boss!$A:$A,"&lt;="&amp;K$61,Boss!$D:$D,"&lt;"&amp;0)+sumifs(VPA.Director!$D:$D,VPA.Director!$B:$B,$D86,VPA.Director!$A:$A,"&gt;="&amp;K$60,VPA.Director!$A:$A,"&lt;="&amp;K$61,VPA.Director!$D:$D,"&lt;"&amp;0)+sumifs(ADC.Director!$D:$D,ADC.Director!$B:$B,$D86,ADC.Director!$A:$A,"&gt;="&amp;K$60,ADC.Director!$A:$A,"&lt;="&amp;K$61,ADC.Director!$D:$D,"&lt;"&amp;0)+sumifs('000'!$D:$D,'000'!$B:$B,$D86,'000'!$A:$A,"&gt;="&amp;K$60,'000'!$A:$A,"&lt;="&amp;K$61,'000'!$D:$D,"&lt;"&amp;0)+sumifs('500'!$D:$D,'500'!$B:$B,$D86,'500'!$A:$A,"&gt;="&amp;K$60,'500'!$A:$A,"&lt;="&amp;K$61,'500'!$D:$D,"&lt;"&amp;0)+sumifs('300'!$D:$D,'300'!$B:$B,$D86,'300'!$A:$A,"&gt;="&amp;K$60,'300'!$A:$A,"&lt;="&amp;K$61,'300'!$D:$D,"&lt;"&amp;0)+sumifs('600.VPA'!$D:$D,'600.VPA'!$B:$B,$D86,'600.VPA'!$A:$A,"&gt;="&amp;K$60,'600.VPA'!$A:$A,"&lt;="&amp;K$61,'600.VPA'!$D:$D,"&lt;"&amp;0)</f>
        <v>0</v>
      </c>
      <c r="L86" s="168">
        <f>sumifs(Boss!$D:$D,Boss!$B:$B,$D86,Boss!$A:$A,"&gt;="&amp;L$60,Boss!$A:$A,"&lt;="&amp;L$61,Boss!$D:$D,"&gt;"&amp;0)+sumifs(VPA.Director!$D:$D,VPA.Director!$B:$B,$D86,VPA.Director!$A:$A,"&gt;="&amp;L$60,VPA.Director!$A:$A,"&lt;="&amp;L$61,VPA.Director!$D:$D,"&gt;"&amp;0)+sumifs(ADC.Director!$D:$D,ADC.Director!$B:$B,$D86,ADC.Director!$A:$A,"&gt;="&amp;L$60,ADC.Director!$A:$A,"&lt;="&amp;L$61,ADC.Director!$D:$D,"&gt;"&amp;0)+sumifs('000'!$D:$D,'000'!$B:$B,$D86,'000'!$A:$A,"&gt;="&amp;L$60,'000'!$A:$A,"&lt;="&amp;L$61,'000'!$D:$D,"&gt;"&amp;0)+sumifs('500'!$D:$D,'500'!$B:$B,$D86,'500'!$A:$A,"&gt;="&amp;L$60,'500'!$A:$A,"&lt;="&amp;L$60,'500'!$D:$D,"&gt;"&amp;0)+sumifs('300'!$D:$D,'300'!$B:$B,$D86,'300'!$A:$A,"&gt;="&amp;L$60,'300'!$A:$A,"&lt;="&amp;L$61,'300'!$D:$D,"&gt;"&amp;0)+sumifs('600.VPA'!$D:$D,'600.VPA'!$B:$B,$D86,'600.VPA'!$A:$A,"&gt;="&amp;L$60,'600.VPA'!$A:$A,"&lt;="&amp;L$61,'600.VPA'!$D:$D,"&gt;"&amp;0)</f>
        <v>0</v>
      </c>
      <c r="M86" s="167">
        <f>sumifs(Boss!$D:$D,Boss!$B:$B,$D86,Boss!$A:$A,"&gt;="&amp;M$60,Boss!$A:$A,"&lt;="&amp;M$61,Boss!$D:$D,"&lt;"&amp;0)+sumifs(VPA.Director!$D:$D,VPA.Director!$B:$B,$D86,VPA.Director!$A:$A,"&gt;="&amp;M$60,VPA.Director!$A:$A,"&lt;="&amp;M$61,VPA.Director!$D:$D,"&lt;"&amp;0)+sumifs(ADC.Director!$D:$D,ADC.Director!$B:$B,$D86,ADC.Director!$A:$A,"&gt;="&amp;M$60,ADC.Director!$A:$A,"&lt;="&amp;M$61,ADC.Director!$D:$D,"&lt;"&amp;0)+sumifs('000'!$D:$D,'000'!$B:$B,$D86,'000'!$A:$A,"&gt;="&amp;M$60,'000'!$A:$A,"&lt;="&amp;M$61,'000'!$D:$D,"&lt;"&amp;0)+sumifs('500'!$D:$D,'500'!$B:$B,$D86,'500'!$A:$A,"&gt;="&amp;M$60,'500'!$A:$A,"&lt;="&amp;M$61,'500'!$D:$D,"&lt;"&amp;0)+sumifs('300'!$D:$D,'300'!$B:$B,$D86,'300'!$A:$A,"&gt;="&amp;M$60,'300'!$A:$A,"&lt;="&amp;M$61,'300'!$D:$D,"&lt;"&amp;0)+sumifs('600.VPA'!$D:$D,'600.VPA'!$B:$B,$D86,'600.VPA'!$A:$A,"&gt;="&amp;M$60,'600.VPA'!$A:$A,"&lt;="&amp;M$61,'600.VPA'!$D:$D,"&lt;"&amp;0)</f>
        <v>0</v>
      </c>
      <c r="N86" s="168">
        <f>sumifs(Boss!$D:$D,Boss!$B:$B,$D86,Boss!$A:$A,"&gt;="&amp;N$60,Boss!$A:$A,"&lt;="&amp;N$61,Boss!$D:$D,"&gt;"&amp;0)+sumifs(VPA.Director!$D:$D,VPA.Director!$B:$B,$D86,VPA.Director!$A:$A,"&gt;="&amp;N$60,VPA.Director!$A:$A,"&lt;="&amp;N$61,VPA.Director!$D:$D,"&gt;"&amp;0)+sumifs(ADC.Director!$D:$D,ADC.Director!$B:$B,$D86,ADC.Director!$A:$A,"&gt;="&amp;N$60,ADC.Director!$A:$A,"&lt;="&amp;N$61,ADC.Director!$D:$D,"&gt;"&amp;0)+sumifs('000'!$D:$D,'000'!$B:$B,$D86,'000'!$A:$A,"&gt;="&amp;N$60,'000'!$A:$A,"&lt;="&amp;N$61,'000'!$D:$D,"&gt;"&amp;0)+sumifs('500'!$D:$D,'500'!$B:$B,$D86,'500'!$A:$A,"&gt;="&amp;N$60,'500'!$A:$A,"&lt;="&amp;N$60,'500'!$D:$D,"&gt;"&amp;0)+sumifs('300'!$D:$D,'300'!$B:$B,$D86,'300'!$A:$A,"&gt;="&amp;N$60,'300'!$A:$A,"&lt;="&amp;N$61,'300'!$D:$D,"&gt;"&amp;0)+sumifs('600.VPA'!$D:$D,'600.VPA'!$B:$B,$D86,'600.VPA'!$A:$A,"&gt;="&amp;N$60,'600.VPA'!$A:$A,"&lt;="&amp;N$61,'600.VPA'!$D:$D,"&gt;"&amp;0)</f>
        <v>0</v>
      </c>
      <c r="O86" s="167">
        <f>sumifs(Boss!$D:$D,Boss!$B:$B,$D86,Boss!$A:$A,"&gt;="&amp;O$60,Boss!$A:$A,"&lt;="&amp;O$61,Boss!$D:$D,"&lt;"&amp;0)+sumifs(VPA.Director!$D:$D,VPA.Director!$B:$B,$D86,VPA.Director!$A:$A,"&gt;="&amp;O$60,VPA.Director!$A:$A,"&lt;="&amp;O$61,VPA.Director!$D:$D,"&lt;"&amp;0)+sumifs(ADC.Director!$D:$D,ADC.Director!$B:$B,$D86,ADC.Director!$A:$A,"&gt;="&amp;O$60,ADC.Director!$A:$A,"&lt;="&amp;O$61,ADC.Director!$D:$D,"&lt;"&amp;0)+sumifs('000'!$D:$D,'000'!$B:$B,$D86,'000'!$A:$A,"&gt;="&amp;O$60,'000'!$A:$A,"&lt;="&amp;O$61,'000'!$D:$D,"&lt;"&amp;0)+sumifs('500'!$D:$D,'500'!$B:$B,$D86,'500'!$A:$A,"&gt;="&amp;O$60,'500'!$A:$A,"&lt;="&amp;O$61,'500'!$D:$D,"&lt;"&amp;0)+sumifs('300'!$D:$D,'300'!$B:$B,$D86,'300'!$A:$A,"&gt;="&amp;O$60,'300'!$A:$A,"&lt;="&amp;O$61,'300'!$D:$D,"&lt;"&amp;0)+sumifs('600.VPA'!$D:$D,'600.VPA'!$B:$B,$D86,'600.VPA'!$A:$A,"&gt;="&amp;O$60,'600.VPA'!$A:$A,"&lt;="&amp;O$61,'600.VPA'!$D:$D,"&lt;"&amp;0)</f>
        <v>0</v>
      </c>
      <c r="P86" s="168">
        <f>sumifs(Boss!$D:$D,Boss!$B:$B,$D86,Boss!$A:$A,"&gt;="&amp;P$60,Boss!$A:$A,"&lt;="&amp;P$61,Boss!$D:$D,"&gt;"&amp;0)+sumifs(VPA.Director!$D:$D,VPA.Director!$B:$B,$D86,VPA.Director!$A:$A,"&gt;="&amp;P$60,VPA.Director!$A:$A,"&lt;="&amp;P$61,VPA.Director!$D:$D,"&gt;"&amp;0)+sumifs(ADC.Director!$D:$D,ADC.Director!$B:$B,$D86,ADC.Director!$A:$A,"&gt;="&amp;P$60,ADC.Director!$A:$A,"&lt;="&amp;P$61,ADC.Director!$D:$D,"&gt;"&amp;0)+sumifs('000'!$D:$D,'000'!$B:$B,$D86,'000'!$A:$A,"&gt;="&amp;P$60,'000'!$A:$A,"&lt;="&amp;P$61,'000'!$D:$D,"&gt;"&amp;0)+sumifs('500'!$D:$D,'500'!$B:$B,$D86,'500'!$A:$A,"&gt;="&amp;P$60,'500'!$A:$A,"&lt;="&amp;P$60,'500'!$D:$D,"&gt;"&amp;0)+sumifs('300'!$D:$D,'300'!$B:$B,$D86,'300'!$A:$A,"&gt;="&amp;P$60,'300'!$A:$A,"&lt;="&amp;P$61,'300'!$D:$D,"&gt;"&amp;0)+sumifs('600.VPA'!$D:$D,'600.VPA'!$B:$B,$D86,'600.VPA'!$A:$A,"&gt;="&amp;P$60,'600.VPA'!$A:$A,"&lt;="&amp;P$61,'600.VPA'!$D:$D,"&gt;"&amp;0)</f>
        <v>0</v>
      </c>
      <c r="Q86" s="167">
        <f>sumifs(Boss!$D:$D,Boss!$B:$B,$D86,Boss!$A:$A,"&gt;="&amp;Q$60,Boss!$A:$A,"&lt;="&amp;Q$61,Boss!$D:$D,"&lt;"&amp;0)+sumifs(VPA.Director!$D:$D,VPA.Director!$B:$B,$D86,VPA.Director!$A:$A,"&gt;="&amp;Q$60,VPA.Director!$A:$A,"&lt;="&amp;Q$61,VPA.Director!$D:$D,"&lt;"&amp;0)+sumifs(ADC.Director!$D:$D,ADC.Director!$B:$B,$D86,ADC.Director!$A:$A,"&gt;="&amp;Q$60,ADC.Director!$A:$A,"&lt;="&amp;Q$61,ADC.Director!$D:$D,"&lt;"&amp;0)+sumifs('000'!$D:$D,'000'!$B:$B,$D86,'000'!$A:$A,"&gt;="&amp;Q$60,'000'!$A:$A,"&lt;="&amp;Q$61,'000'!$D:$D,"&lt;"&amp;0)+sumifs('500'!$D:$D,'500'!$B:$B,$D86,'500'!$A:$A,"&gt;="&amp;Q$60,'500'!$A:$A,"&lt;="&amp;Q$61,'500'!$D:$D,"&lt;"&amp;0)+sumifs('300'!$D:$D,'300'!$B:$B,$D86,'300'!$A:$A,"&gt;="&amp;Q$60,'300'!$A:$A,"&lt;="&amp;Q$61,'300'!$D:$D,"&lt;"&amp;0)+sumifs('600.VPA'!$D:$D,'600.VPA'!$B:$B,$D86,'600.VPA'!$A:$A,"&gt;="&amp;Q$60,'600.VPA'!$A:$A,"&lt;="&amp;Q$61,'600.VPA'!$D:$D,"&lt;"&amp;0)</f>
        <v>0</v>
      </c>
      <c r="R86" s="168">
        <f>sumifs(Boss!$D:$D,Boss!$B:$B,$D86,Boss!$A:$A,"&gt;="&amp;R$60,Boss!$A:$A,"&lt;="&amp;R$61,Boss!$D:$D,"&gt;"&amp;0)+sumifs(VPA.Director!$D:$D,VPA.Director!$B:$B,$D86,VPA.Director!$A:$A,"&gt;="&amp;R$60,VPA.Director!$A:$A,"&lt;="&amp;R$61,VPA.Director!$D:$D,"&gt;"&amp;0)+sumifs(ADC.Director!$D:$D,ADC.Director!$B:$B,$D86,ADC.Director!$A:$A,"&gt;="&amp;R$60,ADC.Director!$A:$A,"&lt;="&amp;R$61,ADC.Director!$D:$D,"&gt;"&amp;0)+sumifs('000'!$D:$D,'000'!$B:$B,$D86,'000'!$A:$A,"&gt;="&amp;R$60,'000'!$A:$A,"&lt;="&amp;R$61,'000'!$D:$D,"&gt;"&amp;0)+sumifs('500'!$D:$D,'500'!$B:$B,$D86,'500'!$A:$A,"&gt;="&amp;R$60,'500'!$A:$A,"&lt;="&amp;R$60,'500'!$D:$D,"&gt;"&amp;0)+sumifs('300'!$D:$D,'300'!$B:$B,$D86,'300'!$A:$A,"&gt;="&amp;R$60,'300'!$A:$A,"&lt;="&amp;R$61,'300'!$D:$D,"&gt;"&amp;0)+sumifs('600.VPA'!$D:$D,'600.VPA'!$B:$B,$D86,'600.VPA'!$A:$A,"&gt;="&amp;R$60,'600.VPA'!$A:$A,"&lt;="&amp;R$61,'600.VPA'!$D:$D,"&gt;"&amp;0)</f>
        <v>0</v>
      </c>
      <c r="S86" s="167">
        <f>sumifs(Boss!$D:$D,Boss!$B:$B,$D86,Boss!$A:$A,"&gt;="&amp;S$60,Boss!$A:$A,"&lt;="&amp;S$61,Boss!$D:$D,"&lt;"&amp;0)+sumifs(VPA.Director!$D:$D,VPA.Director!$B:$B,$D86,VPA.Director!$A:$A,"&gt;="&amp;S$60,VPA.Director!$A:$A,"&lt;="&amp;S$61,VPA.Director!$D:$D,"&lt;"&amp;0)+sumifs(ADC.Director!$D:$D,ADC.Director!$B:$B,$D86,ADC.Director!$A:$A,"&gt;="&amp;S$60,ADC.Director!$A:$A,"&lt;="&amp;S$61,ADC.Director!$D:$D,"&lt;"&amp;0)+sumifs('000'!$D:$D,'000'!$B:$B,$D86,'000'!$A:$A,"&gt;="&amp;S$60,'000'!$A:$A,"&lt;="&amp;S$61,'000'!$D:$D,"&lt;"&amp;0)+sumifs('500'!$D:$D,'500'!$B:$B,$D86,'500'!$A:$A,"&gt;="&amp;S$60,'500'!$A:$A,"&lt;="&amp;S$61,'500'!$D:$D,"&lt;"&amp;0)+sumifs('300'!$D:$D,'300'!$B:$B,$D86,'300'!$A:$A,"&gt;="&amp;S$60,'300'!$A:$A,"&lt;="&amp;S$61,'300'!$D:$D,"&lt;"&amp;0)+sumifs('600.VPA'!$D:$D,'600.VPA'!$B:$B,$D86,'600.VPA'!$A:$A,"&gt;="&amp;S$60,'600.VPA'!$A:$A,"&lt;="&amp;S$61,'600.VPA'!$D:$D,"&lt;"&amp;0)</f>
        <v>0</v>
      </c>
      <c r="T86" s="168">
        <f>sumifs(Boss!$D:$D,Boss!$B:$B,$D86,Boss!$A:$A,"&gt;="&amp;T$60,Boss!$A:$A,"&lt;="&amp;T$61,Boss!$D:$D,"&gt;"&amp;0)+sumifs(VPA.Director!$D:$D,VPA.Director!$B:$B,$D86,VPA.Director!$A:$A,"&gt;="&amp;T$60,VPA.Director!$A:$A,"&lt;="&amp;T$61,VPA.Director!$D:$D,"&gt;"&amp;0)+sumifs(ADC.Director!$D:$D,ADC.Director!$B:$B,$D86,ADC.Director!$A:$A,"&gt;="&amp;T$60,ADC.Director!$A:$A,"&lt;="&amp;T$61,ADC.Director!$D:$D,"&gt;"&amp;0)+sumifs('000'!$D:$D,'000'!$B:$B,$D86,'000'!$A:$A,"&gt;="&amp;T$60,'000'!$A:$A,"&lt;="&amp;T$61,'000'!$D:$D,"&gt;"&amp;0)+sumifs('500'!$D:$D,'500'!$B:$B,$D86,'500'!$A:$A,"&gt;="&amp;T$60,'500'!$A:$A,"&lt;="&amp;T$60,'500'!$D:$D,"&gt;"&amp;0)+sumifs('300'!$D:$D,'300'!$B:$B,$D86,'300'!$A:$A,"&gt;="&amp;T$60,'300'!$A:$A,"&lt;="&amp;T$61,'300'!$D:$D,"&gt;"&amp;0)+sumifs('600.VPA'!$D:$D,'600.VPA'!$B:$B,$D86,'600.VPA'!$A:$A,"&gt;="&amp;T$60,'600.VPA'!$A:$A,"&lt;="&amp;T$61,'600.VPA'!$D:$D,"&gt;"&amp;0)</f>
        <v>0</v>
      </c>
      <c r="U86" s="163"/>
      <c r="V86" s="167">
        <f>sumifs(Boss!$D:$D,Boss!$B:$B,$D86,Boss!$A:$A,"&gt;="&amp;V$60,Boss!$A:$A,"&lt;="&amp;V$61,Boss!$D:$D,"&lt;"&amp;0)+sumifs(VPA.Director!$D:$D,VPA.Director!$B:$B,$D86,VPA.Director!$A:$A,"&gt;="&amp;V$60,VPA.Director!$A:$A,"&lt;="&amp;V$61,VPA.Director!$D:$D,"&lt;"&amp;0)+sumifs(ADC.Director!$D:$D,ADC.Director!$B:$B,$D86,ADC.Director!$A:$A,"&gt;="&amp;V$60,ADC.Director!$A:$A,"&lt;="&amp;V$61,ADC.Director!$D:$D,"&lt;"&amp;0)+sumifs('000'!$D:$D,'000'!$B:$B,$D86,'000'!$A:$A,"&gt;="&amp;V$60,'000'!$A:$A,"&lt;="&amp;V$61,'000'!$D:$D,"&lt;"&amp;0)+sumifs('500'!$D:$D,'500'!$B:$B,$D86,'500'!$A:$A,"&gt;="&amp;V$60,'500'!$A:$A,"&lt;="&amp;V$61,'500'!$D:$D,"&lt;"&amp;0)+sumifs('300'!$D:$D,'300'!$B:$B,$D86,'300'!$A:$A,"&gt;="&amp;V$60,'300'!$A:$A,"&lt;="&amp;V$61,'300'!$D:$D,"&lt;"&amp;0)+sumifs('600.VPA'!$D:$D,'600.VPA'!$B:$B,$D86,'600.VPA'!$A:$A,"&gt;="&amp;V$60,'600.VPA'!$A:$A,"&lt;="&amp;V$61,'600.VPA'!$D:$D,"&lt;"&amp;0)</f>
        <v>0</v>
      </c>
      <c r="W86" s="168">
        <f>sumifs(Boss!$D:$D,Boss!$B:$B,$D86,Boss!$A:$A,"&gt;="&amp;W$60,Boss!$A:$A,"&lt;="&amp;W$61,Boss!$D:$D,"&gt;"&amp;0)+sumifs(VPA.Director!$D:$D,VPA.Director!$B:$B,$D86,VPA.Director!$A:$A,"&gt;="&amp;W$60,VPA.Director!$A:$A,"&lt;="&amp;W$61,VPA.Director!$D:$D,"&gt;"&amp;0)+sumifs(ADC.Director!$D:$D,ADC.Director!$B:$B,$D86,ADC.Director!$A:$A,"&gt;="&amp;W$60,ADC.Director!$A:$A,"&lt;="&amp;W$61,ADC.Director!$D:$D,"&gt;"&amp;0)+sumifs('000'!$D:$D,'000'!$B:$B,$D86,'000'!$A:$A,"&gt;="&amp;W$60,'000'!$A:$A,"&lt;="&amp;W$61,'000'!$D:$D,"&gt;"&amp;0)+sumifs('500'!$D:$D,'500'!$B:$B,$D86,'500'!$A:$A,"&gt;="&amp;W$60,'500'!$A:$A,"&lt;="&amp;W$60,'500'!$D:$D,"&gt;"&amp;0)+sumifs('300'!$D:$D,'300'!$B:$B,$D86,'300'!$A:$A,"&gt;="&amp;W$60,'300'!$A:$A,"&lt;="&amp;W$61,'300'!$D:$D,"&gt;"&amp;0)+sumifs('600.VPA'!$D:$D,'600.VPA'!$B:$B,$D86,'600.VPA'!$A:$A,"&gt;="&amp;W$60,'600.VPA'!$A:$A,"&lt;="&amp;W$61,'600.VPA'!$D:$D,"&gt;"&amp;0)</f>
        <v>0</v>
      </c>
      <c r="X86" s="167">
        <f>sumifs(Boss!$D:$D,Boss!$B:$B,$D86,Boss!$A:$A,"&gt;="&amp;X$60,Boss!$A:$A,"&lt;="&amp;X$61,Boss!$D:$D,"&lt;"&amp;0)+sumifs(VPA.Director!$D:$D,VPA.Director!$B:$B,$D86,VPA.Director!$A:$A,"&gt;="&amp;X$60,VPA.Director!$A:$A,"&lt;="&amp;X$61,VPA.Director!$D:$D,"&lt;"&amp;0)+sumifs(ADC.Director!$D:$D,ADC.Director!$B:$B,$D86,ADC.Director!$A:$A,"&gt;="&amp;X$60,ADC.Director!$A:$A,"&lt;="&amp;X$61,ADC.Director!$D:$D,"&lt;"&amp;0)+sumifs('000'!$D:$D,'000'!$B:$B,$D86,'000'!$A:$A,"&gt;="&amp;X$60,'000'!$A:$A,"&lt;="&amp;X$61,'000'!$D:$D,"&lt;"&amp;0)+sumifs('500'!$D:$D,'500'!$B:$B,$D86,'500'!$A:$A,"&gt;="&amp;X$60,'500'!$A:$A,"&lt;="&amp;X$61,'500'!$D:$D,"&lt;"&amp;0)+sumifs('300'!$D:$D,'300'!$B:$B,$D86,'300'!$A:$A,"&gt;="&amp;X$60,'300'!$A:$A,"&lt;="&amp;X$61,'300'!$D:$D,"&lt;"&amp;0)+sumifs('600.VPA'!$D:$D,'600.VPA'!$B:$B,$D86,'600.VPA'!$A:$A,"&gt;="&amp;X$60,'600.VPA'!$A:$A,"&lt;="&amp;X$61,'600.VPA'!$D:$D,"&lt;"&amp;0)</f>
        <v>0</v>
      </c>
      <c r="Y86" s="168">
        <f>sumifs(Boss!$D:$D,Boss!$B:$B,$D86,Boss!$A:$A,"&gt;="&amp;Y$60,Boss!$A:$A,"&lt;="&amp;Y$61,Boss!$D:$D,"&gt;"&amp;0)+sumifs(VPA.Director!$D:$D,VPA.Director!$B:$B,$D86,VPA.Director!$A:$A,"&gt;="&amp;Y$60,VPA.Director!$A:$A,"&lt;="&amp;Y$61,VPA.Director!$D:$D,"&gt;"&amp;0)+sumifs(ADC.Director!$D:$D,ADC.Director!$B:$B,$D86,ADC.Director!$A:$A,"&gt;="&amp;Y$60,ADC.Director!$A:$A,"&lt;="&amp;Y$61,ADC.Director!$D:$D,"&gt;"&amp;0)+sumifs('000'!$D:$D,'000'!$B:$B,$D86,'000'!$A:$A,"&gt;="&amp;Y$60,'000'!$A:$A,"&lt;="&amp;Y$61,'000'!$D:$D,"&gt;"&amp;0)+sumifs('500'!$D:$D,'500'!$B:$B,$D86,'500'!$A:$A,"&gt;="&amp;Y$60,'500'!$A:$A,"&lt;="&amp;Y$60,'500'!$D:$D,"&gt;"&amp;0)+sumifs('300'!$D:$D,'300'!$B:$B,$D86,'300'!$A:$A,"&gt;="&amp;Y$60,'300'!$A:$A,"&lt;="&amp;Y$61,'300'!$D:$D,"&gt;"&amp;0)+sumifs('600.VPA'!$D:$D,'600.VPA'!$B:$B,$D86,'600.VPA'!$A:$A,"&gt;="&amp;Y$60,'600.VPA'!$A:$A,"&lt;="&amp;Y$61,'600.VPA'!$D:$D,"&gt;"&amp;0)</f>
        <v>0</v>
      </c>
      <c r="Z86" s="167">
        <f>sumifs(Boss!$D:$D,Boss!$B:$B,$D86,Boss!$A:$A,"&gt;="&amp;Z$60,Boss!$A:$A,"&lt;="&amp;Z$61,Boss!$D:$D,"&lt;"&amp;0)+sumifs(VPA.Director!$D:$D,VPA.Director!$B:$B,$D86,VPA.Director!$A:$A,"&gt;="&amp;Z$60,VPA.Director!$A:$A,"&lt;="&amp;Z$61,VPA.Director!$D:$D,"&lt;"&amp;0)+sumifs(ADC.Director!$D:$D,ADC.Director!$B:$B,$D86,ADC.Director!$A:$A,"&gt;="&amp;Z$60,ADC.Director!$A:$A,"&lt;="&amp;Z$61,ADC.Director!$D:$D,"&lt;"&amp;0)+sumifs('000'!$D:$D,'000'!$B:$B,$D86,'000'!$A:$A,"&gt;="&amp;Z$60,'000'!$A:$A,"&lt;="&amp;Z$61,'000'!$D:$D,"&lt;"&amp;0)+sumifs('500'!$D:$D,'500'!$B:$B,$D86,'500'!$A:$A,"&gt;="&amp;Z$60,'500'!$A:$A,"&lt;="&amp;Z$61,'500'!$D:$D,"&lt;"&amp;0)+sumifs('300'!$D:$D,'300'!$B:$B,$D86,'300'!$A:$A,"&gt;="&amp;Z$60,'300'!$A:$A,"&lt;="&amp;Z$61,'300'!$D:$D,"&lt;"&amp;0)+sumifs('600.VPA'!$D:$D,'600.VPA'!$B:$B,$D86,'600.VPA'!$A:$A,"&gt;="&amp;Z$60,'600.VPA'!$A:$A,"&lt;="&amp;Z$61,'600.VPA'!$D:$D,"&lt;"&amp;0)</f>
        <v>0</v>
      </c>
      <c r="AA86" s="168">
        <f>sumifs(Boss!$D:$D,Boss!$B:$B,$D86,Boss!$A:$A,"&gt;="&amp;AA$60,Boss!$A:$A,"&lt;="&amp;AA$61,Boss!$D:$D,"&gt;"&amp;0)+sumifs(VPA.Director!$D:$D,VPA.Director!$B:$B,$D86,VPA.Director!$A:$A,"&gt;="&amp;AA$60,VPA.Director!$A:$A,"&lt;="&amp;AA$61,VPA.Director!$D:$D,"&gt;"&amp;0)+sumifs(ADC.Director!$D:$D,ADC.Director!$B:$B,$D86,ADC.Director!$A:$A,"&gt;="&amp;AA$60,ADC.Director!$A:$A,"&lt;="&amp;AA$61,ADC.Director!$D:$D,"&gt;"&amp;0)+sumifs('000'!$D:$D,'000'!$B:$B,$D86,'000'!$A:$A,"&gt;="&amp;AA$60,'000'!$A:$A,"&lt;="&amp;AA$61,'000'!$D:$D,"&gt;"&amp;0)+sumifs('500'!$D:$D,'500'!$B:$B,$D86,'500'!$A:$A,"&gt;="&amp;AA$60,'500'!$A:$A,"&lt;="&amp;AA$60,'500'!$D:$D,"&gt;"&amp;0)+sumifs('300'!$D:$D,'300'!$B:$B,$D86,'300'!$A:$A,"&gt;="&amp;AA$60,'300'!$A:$A,"&lt;="&amp;AA$61,'300'!$D:$D,"&gt;"&amp;0)+sumifs('600.VPA'!$D:$D,'600.VPA'!$B:$B,$D86,'600.VPA'!$A:$A,"&gt;="&amp;AA$60,'600.VPA'!$A:$A,"&lt;="&amp;AA$61,'600.VPA'!$D:$D,"&gt;"&amp;0)</f>
        <v>0</v>
      </c>
      <c r="AB86" s="167">
        <f>sumifs(Boss!$D:$D,Boss!$B:$B,$D86,Boss!$A:$A,"&gt;="&amp;AB$60,Boss!$A:$A,"&lt;="&amp;AB$61,Boss!$D:$D,"&lt;"&amp;0)+sumifs(VPA.Director!$D:$D,VPA.Director!$B:$B,$D86,VPA.Director!$A:$A,"&gt;="&amp;AB$60,VPA.Director!$A:$A,"&lt;="&amp;AB$61,VPA.Director!$D:$D,"&lt;"&amp;0)+sumifs(ADC.Director!$D:$D,ADC.Director!$B:$B,$D86,ADC.Director!$A:$A,"&gt;="&amp;AB$60,ADC.Director!$A:$A,"&lt;="&amp;AB$61,ADC.Director!$D:$D,"&lt;"&amp;0)+sumifs('000'!$D:$D,'000'!$B:$B,$D86,'000'!$A:$A,"&gt;="&amp;AB$60,'000'!$A:$A,"&lt;="&amp;AB$61,'000'!$D:$D,"&lt;"&amp;0)+sumifs('500'!$D:$D,'500'!$B:$B,$D86,'500'!$A:$A,"&gt;="&amp;AB$60,'500'!$A:$A,"&lt;="&amp;AB$61,'500'!$D:$D,"&lt;"&amp;0)+sumifs('300'!$D:$D,'300'!$B:$B,$D86,'300'!$A:$A,"&gt;="&amp;AB$60,'300'!$A:$A,"&lt;="&amp;AB$61,'300'!$D:$D,"&lt;"&amp;0)+sumifs('600.VPA'!$D:$D,'600.VPA'!$B:$B,$D86,'600.VPA'!$A:$A,"&gt;="&amp;AB$60,'600.VPA'!$A:$A,"&lt;="&amp;AB$61,'600.VPA'!$D:$D,"&lt;"&amp;0)</f>
        <v>0</v>
      </c>
      <c r="AC86" s="168">
        <f>sumifs(Boss!$D:$D,Boss!$B:$B,$D86,Boss!$A:$A,"&gt;="&amp;AC$60,Boss!$A:$A,"&lt;="&amp;AC$61,Boss!$D:$D,"&gt;"&amp;0)+sumifs(VPA.Director!$D:$D,VPA.Director!$B:$B,$D86,VPA.Director!$A:$A,"&gt;="&amp;AC$60,VPA.Director!$A:$A,"&lt;="&amp;AC$61,VPA.Director!$D:$D,"&gt;"&amp;0)+sumifs(ADC.Director!$D:$D,ADC.Director!$B:$B,$D86,ADC.Director!$A:$A,"&gt;="&amp;AC$60,ADC.Director!$A:$A,"&lt;="&amp;AC$61,ADC.Director!$D:$D,"&gt;"&amp;0)+sumifs('000'!$D:$D,'000'!$B:$B,$D86,'000'!$A:$A,"&gt;="&amp;AC$60,'000'!$A:$A,"&lt;="&amp;AC$61,'000'!$D:$D,"&gt;"&amp;0)+sumifs('500'!$D:$D,'500'!$B:$B,$D86,'500'!$A:$A,"&gt;="&amp;AC$60,'500'!$A:$A,"&lt;="&amp;AC$60,'500'!$D:$D,"&gt;"&amp;0)+sumifs('300'!$D:$D,'300'!$B:$B,$D86,'300'!$A:$A,"&gt;="&amp;AC$60,'300'!$A:$A,"&lt;="&amp;AC$61,'300'!$D:$D,"&gt;"&amp;0)+sumifs('600.VPA'!$D:$D,'600.VPA'!$B:$B,$D86,'600.VPA'!$A:$A,"&gt;="&amp;AC$60,'600.VPA'!$A:$A,"&lt;="&amp;AC$61,'600.VPA'!$D:$D,"&gt;"&amp;0)</f>
        <v>0</v>
      </c>
      <c r="AD86" s="167">
        <f>sumifs(Boss!$D:$D,Boss!$B:$B,$D86,Boss!$A:$A,"&gt;="&amp;AD$60,Boss!$A:$A,"&lt;="&amp;AD$61,Boss!$D:$D,"&lt;"&amp;0)+sumifs(VPA.Director!$D:$D,VPA.Director!$B:$B,$D86,VPA.Director!$A:$A,"&gt;="&amp;AD$60,VPA.Director!$A:$A,"&lt;="&amp;AD$61,VPA.Director!$D:$D,"&lt;"&amp;0)+sumifs(ADC.Director!$D:$D,ADC.Director!$B:$B,$D86,ADC.Director!$A:$A,"&gt;="&amp;AD$60,ADC.Director!$A:$A,"&lt;="&amp;AD$61,ADC.Director!$D:$D,"&lt;"&amp;0)+sumifs('000'!$D:$D,'000'!$B:$B,$D86,'000'!$A:$A,"&gt;="&amp;AD$60,'000'!$A:$A,"&lt;="&amp;AD$61,'000'!$D:$D,"&lt;"&amp;0)+sumifs('500'!$D:$D,'500'!$B:$B,$D86,'500'!$A:$A,"&gt;="&amp;AD$60,'500'!$A:$A,"&lt;="&amp;AD$61,'500'!$D:$D,"&lt;"&amp;0)+sumifs('300'!$D:$D,'300'!$B:$B,$D86,'300'!$A:$A,"&gt;="&amp;AD$60,'300'!$A:$A,"&lt;="&amp;AD$61,'300'!$D:$D,"&lt;"&amp;0)+sumifs('600.VPA'!$D:$D,'600.VPA'!$B:$B,$D86,'600.VPA'!$A:$A,"&gt;="&amp;AD$60,'600.VPA'!$A:$A,"&lt;="&amp;AD$61,'600.VPA'!$D:$D,"&lt;"&amp;0)</f>
        <v>0</v>
      </c>
      <c r="AE86" s="168">
        <f>sumifs(Boss!$D:$D,Boss!$B:$B,$D86,Boss!$A:$A,"&gt;="&amp;AE$60,Boss!$A:$A,"&lt;="&amp;AE$61,Boss!$D:$D,"&gt;"&amp;0)+sumifs(VPA.Director!$D:$D,VPA.Director!$B:$B,$D86,VPA.Director!$A:$A,"&gt;="&amp;AE$60,VPA.Director!$A:$A,"&lt;="&amp;AE$61,VPA.Director!$D:$D,"&gt;"&amp;0)+sumifs(ADC.Director!$D:$D,ADC.Director!$B:$B,$D86,ADC.Director!$A:$A,"&gt;="&amp;AE$60,ADC.Director!$A:$A,"&lt;="&amp;AE$61,ADC.Director!$D:$D,"&gt;"&amp;0)+sumifs('000'!$D:$D,'000'!$B:$B,$D86,'000'!$A:$A,"&gt;="&amp;AE$60,'000'!$A:$A,"&lt;="&amp;AE$61,'000'!$D:$D,"&gt;"&amp;0)+sumifs('500'!$D:$D,'500'!$B:$B,$D86,'500'!$A:$A,"&gt;="&amp;AE$60,'500'!$A:$A,"&lt;="&amp;AE$60,'500'!$D:$D,"&gt;"&amp;0)+sumifs('300'!$D:$D,'300'!$B:$B,$D86,'300'!$A:$A,"&gt;="&amp;AE$60,'300'!$A:$A,"&lt;="&amp;AE$61,'300'!$D:$D,"&gt;"&amp;0)+sumifs('600.VPA'!$D:$D,'600.VPA'!$B:$B,$D86,'600.VPA'!$A:$A,"&gt;="&amp;AE$60,'600.VPA'!$A:$A,"&lt;="&amp;AE$61,'600.VPA'!$D:$D,"&gt;"&amp;0)</f>
        <v>0</v>
      </c>
      <c r="AF86" s="167">
        <f>sumifs(Boss!$D:$D,Boss!$B:$B,$D86,Boss!$A:$A,"&gt;="&amp;AF$60,Boss!$A:$A,"&lt;="&amp;AF$61,Boss!$D:$D,"&lt;"&amp;0)+sumifs(VPA.Director!$D:$D,VPA.Director!$B:$B,$D86,VPA.Director!$A:$A,"&gt;="&amp;AF$60,VPA.Director!$A:$A,"&lt;="&amp;AF$61,VPA.Director!$D:$D,"&lt;"&amp;0)+sumifs(ADC.Director!$D:$D,ADC.Director!$B:$B,$D86,ADC.Director!$A:$A,"&gt;="&amp;AF$60,ADC.Director!$A:$A,"&lt;="&amp;AF$61,ADC.Director!$D:$D,"&lt;"&amp;0)+sumifs('000'!$D:$D,'000'!$B:$B,$D86,'000'!$A:$A,"&gt;="&amp;AF$60,'000'!$A:$A,"&lt;="&amp;AF$61,'000'!$D:$D,"&lt;"&amp;0)+sumifs('500'!$D:$D,'500'!$B:$B,$D86,'500'!$A:$A,"&gt;="&amp;AF$60,'500'!$A:$A,"&lt;="&amp;AF$61,'500'!$D:$D,"&lt;"&amp;0)+sumifs('300'!$D:$D,'300'!$B:$B,$D86,'300'!$A:$A,"&gt;="&amp;AF$60,'300'!$A:$A,"&lt;="&amp;AF$61,'300'!$D:$D,"&lt;"&amp;0)+sumifs('600.VPA'!$D:$D,'600.VPA'!$B:$B,$D86,'600.VPA'!$A:$A,"&gt;="&amp;AF$60,'600.VPA'!$A:$A,"&lt;="&amp;AF$61,'600.VPA'!$D:$D,"&lt;"&amp;0)</f>
        <v>0</v>
      </c>
      <c r="AG86" s="168">
        <f>sumifs(Boss!$D:$D,Boss!$B:$B,$D86,Boss!$A:$A,"&gt;="&amp;AG$60,Boss!$A:$A,"&lt;="&amp;AG$61,Boss!$D:$D,"&gt;"&amp;0)+sumifs(VPA.Director!$D:$D,VPA.Director!$B:$B,$D86,VPA.Director!$A:$A,"&gt;="&amp;AG$60,VPA.Director!$A:$A,"&lt;="&amp;AG$61,VPA.Director!$D:$D,"&gt;"&amp;0)+sumifs(ADC.Director!$D:$D,ADC.Director!$B:$B,$D86,ADC.Director!$A:$A,"&gt;="&amp;AG$60,ADC.Director!$A:$A,"&lt;="&amp;AG$61,ADC.Director!$D:$D,"&gt;"&amp;0)+sumifs('000'!$D:$D,'000'!$B:$B,$D86,'000'!$A:$A,"&gt;="&amp;AG$60,'000'!$A:$A,"&lt;="&amp;AG$61,'000'!$D:$D,"&gt;"&amp;0)+sumifs('500'!$D:$D,'500'!$B:$B,$D86,'500'!$A:$A,"&gt;="&amp;AG$60,'500'!$A:$A,"&lt;="&amp;AG$60,'500'!$D:$D,"&gt;"&amp;0)+sumifs('300'!$D:$D,'300'!$B:$B,$D86,'300'!$A:$A,"&gt;="&amp;AG$60,'300'!$A:$A,"&lt;="&amp;AG$61,'300'!$D:$D,"&gt;"&amp;0)+sumifs('600.VPA'!$D:$D,'600.VPA'!$B:$B,$D86,'600.VPA'!$A:$A,"&gt;="&amp;AG$60,'600.VPA'!$A:$A,"&lt;="&amp;AG$61,'600.VPA'!$D:$D,"&gt;"&amp;0)</f>
        <v>0</v>
      </c>
      <c r="AH86" s="169">
        <f t="shared" ref="AH86:AI86" si="24">sum(I86,K86,M86,O86,Q86,S86,V86,X86,Z86,AB86,AD86,AF86)</f>
        <v>0</v>
      </c>
      <c r="AI86" s="170">
        <f t="shared" si="24"/>
        <v>0</v>
      </c>
      <c r="AJ86" s="169">
        <f t="shared" si="4"/>
        <v>0</v>
      </c>
      <c r="AK86" s="89"/>
      <c r="AL86" s="89"/>
      <c r="AM86" s="89"/>
      <c r="AN86" s="89"/>
      <c r="AO86" s="89"/>
      <c r="AP86" s="89"/>
      <c r="AQ86" s="89"/>
      <c r="AR86" s="89"/>
      <c r="AS86" s="89"/>
      <c r="AT86" s="89"/>
      <c r="AU86" s="89"/>
    </row>
    <row r="87">
      <c r="A87" s="86"/>
      <c r="B87" s="163"/>
      <c r="D87" s="165" t="s">
        <v>121</v>
      </c>
      <c r="E87" s="166" t="s">
        <v>27</v>
      </c>
      <c r="F87" s="165" t="s">
        <v>162</v>
      </c>
      <c r="G87" s="165" t="s">
        <v>163</v>
      </c>
      <c r="H87" s="165" t="s">
        <v>68</v>
      </c>
      <c r="I87" s="167">
        <f>sumifs(Boss!$D:$D,Boss!$B:$B,$D87,Boss!$A:$A,"&gt;="&amp;I$60,Boss!$A:$A,"&lt;="&amp;I$61,Boss!$D:$D,"&lt;"&amp;0)+sumifs(VPA.Director!$D:$D,VPA.Director!$B:$B,$D87,VPA.Director!$A:$A,"&gt;="&amp;I$60,VPA.Director!$A:$A,"&lt;="&amp;I$61,VPA.Director!$D:$D,"&lt;"&amp;0)+sumifs(ADC.Director!$D:$D,ADC.Director!$B:$B,$D87,ADC.Director!$A:$A,"&gt;="&amp;I$60,ADC.Director!$A:$A,"&lt;="&amp;I$61,ADC.Director!$D:$D,"&lt;"&amp;0)+sumifs('000'!$D:$D,'000'!$B:$B,$D87,'000'!$A:$A,"&gt;="&amp;I$60,'000'!$A:$A,"&lt;="&amp;I$61,'000'!$D:$D,"&lt;"&amp;0)+sumifs('500'!$D:$D,'500'!$B:$B,$D87,'500'!$A:$A,"&gt;="&amp;I$60,'500'!$A:$A,"&lt;="&amp;I$61,'500'!$D:$D,"&lt;"&amp;0)+sumifs('300'!$D:$D,'300'!$B:$B,$D87,'300'!$A:$A,"&gt;="&amp;I$60,'300'!$A:$A,"&lt;="&amp;I$61,'300'!$D:$D,"&lt;"&amp;0)+sumifs('600.VPA'!$D:$D,'600.VPA'!$B:$B,$D87,'600.VPA'!$A:$A,"&gt;="&amp;I$60,'600.VPA'!$A:$A,"&lt;="&amp;I$61,'600.VPA'!$D:$D,"&lt;"&amp;0)</f>
        <v>0</v>
      </c>
      <c r="J87" s="168">
        <f>sumifs(Boss!$D:$D,Boss!$B:$B,$D87,Boss!$A:$A,"&gt;="&amp;J$60,Boss!$A:$A,"&lt;="&amp;J$61,Boss!$D:$D,"&gt;"&amp;0)+sumifs(VPA.Director!$D:$D,VPA.Director!$B:$B,$D87,VPA.Director!$A:$A,"&gt;="&amp;J$60,VPA.Director!$A:$A,"&lt;="&amp;J$61,VPA.Director!$D:$D,"&gt;"&amp;0)+sumifs(ADC.Director!$D:$D,ADC.Director!$B:$B,$D87,ADC.Director!$A:$A,"&gt;="&amp;J$60,ADC.Director!$A:$A,"&lt;="&amp;J$61,ADC.Director!$D:$D,"&gt;"&amp;0)+sumifs('000'!$D:$D,'000'!$B:$B,$D87,'000'!$A:$A,"&gt;="&amp;J$60,'000'!$A:$A,"&lt;="&amp;J$61,'000'!$D:$D,"&gt;"&amp;0)+sumifs('500'!$D:$D,'500'!$B:$B,$D87,'500'!$A:$A,"&gt;="&amp;J$60,'500'!$A:$A,"&lt;="&amp;J$60,'500'!$D:$D,"&gt;"&amp;0)+sumifs('300'!$D:$D,'300'!$B:$B,$D87,'300'!$A:$A,"&gt;="&amp;J$60,'300'!$A:$A,"&lt;="&amp;J$61,'300'!$D:$D,"&gt;"&amp;0)+sumifs('600.VPA'!$D:$D,'600.VPA'!$B:$B,$D87,'600.VPA'!$A:$A,"&gt;="&amp;J$60,'600.VPA'!$A:$A,"&lt;="&amp;J$61,'600.VPA'!$D:$D,"&gt;"&amp;0)</f>
        <v>0</v>
      </c>
      <c r="K87" s="167">
        <f>sumifs(Boss!$D:$D,Boss!$B:$B,$D87,Boss!$A:$A,"&gt;="&amp;K$60,Boss!$A:$A,"&lt;="&amp;K$61,Boss!$D:$D,"&lt;"&amp;0)+sumifs(VPA.Director!$D:$D,VPA.Director!$B:$B,$D87,VPA.Director!$A:$A,"&gt;="&amp;K$60,VPA.Director!$A:$A,"&lt;="&amp;K$61,VPA.Director!$D:$D,"&lt;"&amp;0)+sumifs(ADC.Director!$D:$D,ADC.Director!$B:$B,$D87,ADC.Director!$A:$A,"&gt;="&amp;K$60,ADC.Director!$A:$A,"&lt;="&amp;K$61,ADC.Director!$D:$D,"&lt;"&amp;0)+sumifs('000'!$D:$D,'000'!$B:$B,$D87,'000'!$A:$A,"&gt;="&amp;K$60,'000'!$A:$A,"&lt;="&amp;K$61,'000'!$D:$D,"&lt;"&amp;0)+sumifs('500'!$D:$D,'500'!$B:$B,$D87,'500'!$A:$A,"&gt;="&amp;K$60,'500'!$A:$A,"&lt;="&amp;K$61,'500'!$D:$D,"&lt;"&amp;0)+sumifs('300'!$D:$D,'300'!$B:$B,$D87,'300'!$A:$A,"&gt;="&amp;K$60,'300'!$A:$A,"&lt;="&amp;K$61,'300'!$D:$D,"&lt;"&amp;0)+sumifs('600.VPA'!$D:$D,'600.VPA'!$B:$B,$D87,'600.VPA'!$A:$A,"&gt;="&amp;K$60,'600.VPA'!$A:$A,"&lt;="&amp;K$61,'600.VPA'!$D:$D,"&lt;"&amp;0)</f>
        <v>0</v>
      </c>
      <c r="L87" s="168">
        <f>sumifs(Boss!$D:$D,Boss!$B:$B,$D87,Boss!$A:$A,"&gt;="&amp;L$60,Boss!$A:$A,"&lt;="&amp;L$61,Boss!$D:$D,"&gt;"&amp;0)+sumifs(VPA.Director!$D:$D,VPA.Director!$B:$B,$D87,VPA.Director!$A:$A,"&gt;="&amp;L$60,VPA.Director!$A:$A,"&lt;="&amp;L$61,VPA.Director!$D:$D,"&gt;"&amp;0)+sumifs(ADC.Director!$D:$D,ADC.Director!$B:$B,$D87,ADC.Director!$A:$A,"&gt;="&amp;L$60,ADC.Director!$A:$A,"&lt;="&amp;L$61,ADC.Director!$D:$D,"&gt;"&amp;0)+sumifs('000'!$D:$D,'000'!$B:$B,$D87,'000'!$A:$A,"&gt;="&amp;L$60,'000'!$A:$A,"&lt;="&amp;L$61,'000'!$D:$D,"&gt;"&amp;0)+sumifs('500'!$D:$D,'500'!$B:$B,$D87,'500'!$A:$A,"&gt;="&amp;L$60,'500'!$A:$A,"&lt;="&amp;L$60,'500'!$D:$D,"&gt;"&amp;0)+sumifs('300'!$D:$D,'300'!$B:$B,$D87,'300'!$A:$A,"&gt;="&amp;L$60,'300'!$A:$A,"&lt;="&amp;L$61,'300'!$D:$D,"&gt;"&amp;0)+sumifs('600.VPA'!$D:$D,'600.VPA'!$B:$B,$D87,'600.VPA'!$A:$A,"&gt;="&amp;L$60,'600.VPA'!$A:$A,"&lt;="&amp;L$61,'600.VPA'!$D:$D,"&gt;"&amp;0)</f>
        <v>0</v>
      </c>
      <c r="M87" s="167">
        <f>sumifs(Boss!$D:$D,Boss!$B:$B,$D87,Boss!$A:$A,"&gt;="&amp;M$60,Boss!$A:$A,"&lt;="&amp;M$61,Boss!$D:$D,"&lt;"&amp;0)+sumifs(VPA.Director!$D:$D,VPA.Director!$B:$B,$D87,VPA.Director!$A:$A,"&gt;="&amp;M$60,VPA.Director!$A:$A,"&lt;="&amp;M$61,VPA.Director!$D:$D,"&lt;"&amp;0)+sumifs(ADC.Director!$D:$D,ADC.Director!$B:$B,$D87,ADC.Director!$A:$A,"&gt;="&amp;M$60,ADC.Director!$A:$A,"&lt;="&amp;M$61,ADC.Director!$D:$D,"&lt;"&amp;0)+sumifs('000'!$D:$D,'000'!$B:$B,$D87,'000'!$A:$A,"&gt;="&amp;M$60,'000'!$A:$A,"&lt;="&amp;M$61,'000'!$D:$D,"&lt;"&amp;0)+sumifs('500'!$D:$D,'500'!$B:$B,$D87,'500'!$A:$A,"&gt;="&amp;M$60,'500'!$A:$A,"&lt;="&amp;M$61,'500'!$D:$D,"&lt;"&amp;0)+sumifs('300'!$D:$D,'300'!$B:$B,$D87,'300'!$A:$A,"&gt;="&amp;M$60,'300'!$A:$A,"&lt;="&amp;M$61,'300'!$D:$D,"&lt;"&amp;0)+sumifs('600.VPA'!$D:$D,'600.VPA'!$B:$B,$D87,'600.VPA'!$A:$A,"&gt;="&amp;M$60,'600.VPA'!$A:$A,"&lt;="&amp;M$61,'600.VPA'!$D:$D,"&lt;"&amp;0)</f>
        <v>0</v>
      </c>
      <c r="N87" s="168">
        <f>sumifs(Boss!$D:$D,Boss!$B:$B,$D87,Boss!$A:$A,"&gt;="&amp;N$60,Boss!$A:$A,"&lt;="&amp;N$61,Boss!$D:$D,"&gt;"&amp;0)+sumifs(VPA.Director!$D:$D,VPA.Director!$B:$B,$D87,VPA.Director!$A:$A,"&gt;="&amp;N$60,VPA.Director!$A:$A,"&lt;="&amp;N$61,VPA.Director!$D:$D,"&gt;"&amp;0)+sumifs(ADC.Director!$D:$D,ADC.Director!$B:$B,$D87,ADC.Director!$A:$A,"&gt;="&amp;N$60,ADC.Director!$A:$A,"&lt;="&amp;N$61,ADC.Director!$D:$D,"&gt;"&amp;0)+sumifs('000'!$D:$D,'000'!$B:$B,$D87,'000'!$A:$A,"&gt;="&amp;N$60,'000'!$A:$A,"&lt;="&amp;N$61,'000'!$D:$D,"&gt;"&amp;0)+sumifs('500'!$D:$D,'500'!$B:$B,$D87,'500'!$A:$A,"&gt;="&amp;N$60,'500'!$A:$A,"&lt;="&amp;N$60,'500'!$D:$D,"&gt;"&amp;0)+sumifs('300'!$D:$D,'300'!$B:$B,$D87,'300'!$A:$A,"&gt;="&amp;N$60,'300'!$A:$A,"&lt;="&amp;N$61,'300'!$D:$D,"&gt;"&amp;0)+sumifs('600.VPA'!$D:$D,'600.VPA'!$B:$B,$D87,'600.VPA'!$A:$A,"&gt;="&amp;N$60,'600.VPA'!$A:$A,"&lt;="&amp;N$61,'600.VPA'!$D:$D,"&gt;"&amp;0)</f>
        <v>0</v>
      </c>
      <c r="O87" s="167">
        <f>sumifs(Boss!$D:$D,Boss!$B:$B,$D87,Boss!$A:$A,"&gt;="&amp;O$60,Boss!$A:$A,"&lt;="&amp;O$61,Boss!$D:$D,"&lt;"&amp;0)+sumifs(VPA.Director!$D:$D,VPA.Director!$B:$B,$D87,VPA.Director!$A:$A,"&gt;="&amp;O$60,VPA.Director!$A:$A,"&lt;="&amp;O$61,VPA.Director!$D:$D,"&lt;"&amp;0)+sumifs(ADC.Director!$D:$D,ADC.Director!$B:$B,$D87,ADC.Director!$A:$A,"&gt;="&amp;O$60,ADC.Director!$A:$A,"&lt;="&amp;O$61,ADC.Director!$D:$D,"&lt;"&amp;0)+sumifs('000'!$D:$D,'000'!$B:$B,$D87,'000'!$A:$A,"&gt;="&amp;O$60,'000'!$A:$A,"&lt;="&amp;O$61,'000'!$D:$D,"&lt;"&amp;0)+sumifs('500'!$D:$D,'500'!$B:$B,$D87,'500'!$A:$A,"&gt;="&amp;O$60,'500'!$A:$A,"&lt;="&amp;O$61,'500'!$D:$D,"&lt;"&amp;0)+sumifs('300'!$D:$D,'300'!$B:$B,$D87,'300'!$A:$A,"&gt;="&amp;O$60,'300'!$A:$A,"&lt;="&amp;O$61,'300'!$D:$D,"&lt;"&amp;0)+sumifs('600.VPA'!$D:$D,'600.VPA'!$B:$B,$D87,'600.VPA'!$A:$A,"&gt;="&amp;O$60,'600.VPA'!$A:$A,"&lt;="&amp;O$61,'600.VPA'!$D:$D,"&lt;"&amp;0)</f>
        <v>0</v>
      </c>
      <c r="P87" s="168">
        <f>sumifs(Boss!$D:$D,Boss!$B:$B,$D87,Boss!$A:$A,"&gt;="&amp;P$60,Boss!$A:$A,"&lt;="&amp;P$61,Boss!$D:$D,"&gt;"&amp;0)+sumifs(VPA.Director!$D:$D,VPA.Director!$B:$B,$D87,VPA.Director!$A:$A,"&gt;="&amp;P$60,VPA.Director!$A:$A,"&lt;="&amp;P$61,VPA.Director!$D:$D,"&gt;"&amp;0)+sumifs(ADC.Director!$D:$D,ADC.Director!$B:$B,$D87,ADC.Director!$A:$A,"&gt;="&amp;P$60,ADC.Director!$A:$A,"&lt;="&amp;P$61,ADC.Director!$D:$D,"&gt;"&amp;0)+sumifs('000'!$D:$D,'000'!$B:$B,$D87,'000'!$A:$A,"&gt;="&amp;P$60,'000'!$A:$A,"&lt;="&amp;P$61,'000'!$D:$D,"&gt;"&amp;0)+sumifs('500'!$D:$D,'500'!$B:$B,$D87,'500'!$A:$A,"&gt;="&amp;P$60,'500'!$A:$A,"&lt;="&amp;P$60,'500'!$D:$D,"&gt;"&amp;0)+sumifs('300'!$D:$D,'300'!$B:$B,$D87,'300'!$A:$A,"&gt;="&amp;P$60,'300'!$A:$A,"&lt;="&amp;P$61,'300'!$D:$D,"&gt;"&amp;0)+sumifs('600.VPA'!$D:$D,'600.VPA'!$B:$B,$D87,'600.VPA'!$A:$A,"&gt;="&amp;P$60,'600.VPA'!$A:$A,"&lt;="&amp;P$61,'600.VPA'!$D:$D,"&gt;"&amp;0)</f>
        <v>0</v>
      </c>
      <c r="Q87" s="167">
        <f>sumifs(Boss!$D:$D,Boss!$B:$B,$D87,Boss!$A:$A,"&gt;="&amp;Q$60,Boss!$A:$A,"&lt;="&amp;Q$61,Boss!$D:$D,"&lt;"&amp;0)+sumifs(VPA.Director!$D:$D,VPA.Director!$B:$B,$D87,VPA.Director!$A:$A,"&gt;="&amp;Q$60,VPA.Director!$A:$A,"&lt;="&amp;Q$61,VPA.Director!$D:$D,"&lt;"&amp;0)+sumifs(ADC.Director!$D:$D,ADC.Director!$B:$B,$D87,ADC.Director!$A:$A,"&gt;="&amp;Q$60,ADC.Director!$A:$A,"&lt;="&amp;Q$61,ADC.Director!$D:$D,"&lt;"&amp;0)+sumifs('000'!$D:$D,'000'!$B:$B,$D87,'000'!$A:$A,"&gt;="&amp;Q$60,'000'!$A:$A,"&lt;="&amp;Q$61,'000'!$D:$D,"&lt;"&amp;0)+sumifs('500'!$D:$D,'500'!$B:$B,$D87,'500'!$A:$A,"&gt;="&amp;Q$60,'500'!$A:$A,"&lt;="&amp;Q$61,'500'!$D:$D,"&lt;"&amp;0)+sumifs('300'!$D:$D,'300'!$B:$B,$D87,'300'!$A:$A,"&gt;="&amp;Q$60,'300'!$A:$A,"&lt;="&amp;Q$61,'300'!$D:$D,"&lt;"&amp;0)+sumifs('600.VPA'!$D:$D,'600.VPA'!$B:$B,$D87,'600.VPA'!$A:$A,"&gt;="&amp;Q$60,'600.VPA'!$A:$A,"&lt;="&amp;Q$61,'600.VPA'!$D:$D,"&lt;"&amp;0)</f>
        <v>0</v>
      </c>
      <c r="R87" s="168">
        <f>sumifs(Boss!$D:$D,Boss!$B:$B,$D87,Boss!$A:$A,"&gt;="&amp;R$60,Boss!$A:$A,"&lt;="&amp;R$61,Boss!$D:$D,"&gt;"&amp;0)+sumifs(VPA.Director!$D:$D,VPA.Director!$B:$B,$D87,VPA.Director!$A:$A,"&gt;="&amp;R$60,VPA.Director!$A:$A,"&lt;="&amp;R$61,VPA.Director!$D:$D,"&gt;"&amp;0)+sumifs(ADC.Director!$D:$D,ADC.Director!$B:$B,$D87,ADC.Director!$A:$A,"&gt;="&amp;R$60,ADC.Director!$A:$A,"&lt;="&amp;R$61,ADC.Director!$D:$D,"&gt;"&amp;0)+sumifs('000'!$D:$D,'000'!$B:$B,$D87,'000'!$A:$A,"&gt;="&amp;R$60,'000'!$A:$A,"&lt;="&amp;R$61,'000'!$D:$D,"&gt;"&amp;0)+sumifs('500'!$D:$D,'500'!$B:$B,$D87,'500'!$A:$A,"&gt;="&amp;R$60,'500'!$A:$A,"&lt;="&amp;R$60,'500'!$D:$D,"&gt;"&amp;0)+sumifs('300'!$D:$D,'300'!$B:$B,$D87,'300'!$A:$A,"&gt;="&amp;R$60,'300'!$A:$A,"&lt;="&amp;R$61,'300'!$D:$D,"&gt;"&amp;0)+sumifs('600.VPA'!$D:$D,'600.VPA'!$B:$B,$D87,'600.VPA'!$A:$A,"&gt;="&amp;R$60,'600.VPA'!$A:$A,"&lt;="&amp;R$61,'600.VPA'!$D:$D,"&gt;"&amp;0)</f>
        <v>0</v>
      </c>
      <c r="S87" s="167">
        <f>sumifs(Boss!$D:$D,Boss!$B:$B,$D87,Boss!$A:$A,"&gt;="&amp;S$60,Boss!$A:$A,"&lt;="&amp;S$61,Boss!$D:$D,"&lt;"&amp;0)+sumifs(VPA.Director!$D:$D,VPA.Director!$B:$B,$D87,VPA.Director!$A:$A,"&gt;="&amp;S$60,VPA.Director!$A:$A,"&lt;="&amp;S$61,VPA.Director!$D:$D,"&lt;"&amp;0)+sumifs(ADC.Director!$D:$D,ADC.Director!$B:$B,$D87,ADC.Director!$A:$A,"&gt;="&amp;S$60,ADC.Director!$A:$A,"&lt;="&amp;S$61,ADC.Director!$D:$D,"&lt;"&amp;0)+sumifs('000'!$D:$D,'000'!$B:$B,$D87,'000'!$A:$A,"&gt;="&amp;S$60,'000'!$A:$A,"&lt;="&amp;S$61,'000'!$D:$D,"&lt;"&amp;0)+sumifs('500'!$D:$D,'500'!$B:$B,$D87,'500'!$A:$A,"&gt;="&amp;S$60,'500'!$A:$A,"&lt;="&amp;S$61,'500'!$D:$D,"&lt;"&amp;0)+sumifs('300'!$D:$D,'300'!$B:$B,$D87,'300'!$A:$A,"&gt;="&amp;S$60,'300'!$A:$A,"&lt;="&amp;S$61,'300'!$D:$D,"&lt;"&amp;0)+sumifs('600.VPA'!$D:$D,'600.VPA'!$B:$B,$D87,'600.VPA'!$A:$A,"&gt;="&amp;S$60,'600.VPA'!$A:$A,"&lt;="&amp;S$61,'600.VPA'!$D:$D,"&lt;"&amp;0)</f>
        <v>0</v>
      </c>
      <c r="T87" s="168">
        <f>sumifs(Boss!$D:$D,Boss!$B:$B,$D87,Boss!$A:$A,"&gt;="&amp;T$60,Boss!$A:$A,"&lt;="&amp;T$61,Boss!$D:$D,"&gt;"&amp;0)+sumifs(VPA.Director!$D:$D,VPA.Director!$B:$B,$D87,VPA.Director!$A:$A,"&gt;="&amp;T$60,VPA.Director!$A:$A,"&lt;="&amp;T$61,VPA.Director!$D:$D,"&gt;"&amp;0)+sumifs(ADC.Director!$D:$D,ADC.Director!$B:$B,$D87,ADC.Director!$A:$A,"&gt;="&amp;T$60,ADC.Director!$A:$A,"&lt;="&amp;T$61,ADC.Director!$D:$D,"&gt;"&amp;0)+sumifs('000'!$D:$D,'000'!$B:$B,$D87,'000'!$A:$A,"&gt;="&amp;T$60,'000'!$A:$A,"&lt;="&amp;T$61,'000'!$D:$D,"&gt;"&amp;0)+sumifs('500'!$D:$D,'500'!$B:$B,$D87,'500'!$A:$A,"&gt;="&amp;T$60,'500'!$A:$A,"&lt;="&amp;T$60,'500'!$D:$D,"&gt;"&amp;0)+sumifs('300'!$D:$D,'300'!$B:$B,$D87,'300'!$A:$A,"&gt;="&amp;T$60,'300'!$A:$A,"&lt;="&amp;T$61,'300'!$D:$D,"&gt;"&amp;0)+sumifs('600.VPA'!$D:$D,'600.VPA'!$B:$B,$D87,'600.VPA'!$A:$A,"&gt;="&amp;T$60,'600.VPA'!$A:$A,"&lt;="&amp;T$61,'600.VPA'!$D:$D,"&gt;"&amp;0)</f>
        <v>0</v>
      </c>
      <c r="U87" s="163"/>
      <c r="V87" s="167">
        <f>sumifs(Boss!$D:$D,Boss!$B:$B,$D87,Boss!$A:$A,"&gt;="&amp;V$60,Boss!$A:$A,"&lt;="&amp;V$61,Boss!$D:$D,"&lt;"&amp;0)+sumifs(VPA.Director!$D:$D,VPA.Director!$B:$B,$D87,VPA.Director!$A:$A,"&gt;="&amp;V$60,VPA.Director!$A:$A,"&lt;="&amp;V$61,VPA.Director!$D:$D,"&lt;"&amp;0)+sumifs(ADC.Director!$D:$D,ADC.Director!$B:$B,$D87,ADC.Director!$A:$A,"&gt;="&amp;V$60,ADC.Director!$A:$A,"&lt;="&amp;V$61,ADC.Director!$D:$D,"&lt;"&amp;0)+sumifs('000'!$D:$D,'000'!$B:$B,$D87,'000'!$A:$A,"&gt;="&amp;V$60,'000'!$A:$A,"&lt;="&amp;V$61,'000'!$D:$D,"&lt;"&amp;0)+sumifs('500'!$D:$D,'500'!$B:$B,$D87,'500'!$A:$A,"&gt;="&amp;V$60,'500'!$A:$A,"&lt;="&amp;V$61,'500'!$D:$D,"&lt;"&amp;0)+sumifs('300'!$D:$D,'300'!$B:$B,$D87,'300'!$A:$A,"&gt;="&amp;V$60,'300'!$A:$A,"&lt;="&amp;V$61,'300'!$D:$D,"&lt;"&amp;0)+sumifs('600.VPA'!$D:$D,'600.VPA'!$B:$B,$D87,'600.VPA'!$A:$A,"&gt;="&amp;V$60,'600.VPA'!$A:$A,"&lt;="&amp;V$61,'600.VPA'!$D:$D,"&lt;"&amp;0)</f>
        <v>0</v>
      </c>
      <c r="W87" s="168">
        <f>sumifs(Boss!$D:$D,Boss!$B:$B,$D87,Boss!$A:$A,"&gt;="&amp;W$60,Boss!$A:$A,"&lt;="&amp;W$61,Boss!$D:$D,"&gt;"&amp;0)+sumifs(VPA.Director!$D:$D,VPA.Director!$B:$B,$D87,VPA.Director!$A:$A,"&gt;="&amp;W$60,VPA.Director!$A:$A,"&lt;="&amp;W$61,VPA.Director!$D:$D,"&gt;"&amp;0)+sumifs(ADC.Director!$D:$D,ADC.Director!$B:$B,$D87,ADC.Director!$A:$A,"&gt;="&amp;W$60,ADC.Director!$A:$A,"&lt;="&amp;W$61,ADC.Director!$D:$D,"&gt;"&amp;0)+sumifs('000'!$D:$D,'000'!$B:$B,$D87,'000'!$A:$A,"&gt;="&amp;W$60,'000'!$A:$A,"&lt;="&amp;W$61,'000'!$D:$D,"&gt;"&amp;0)+sumifs('500'!$D:$D,'500'!$B:$B,$D87,'500'!$A:$A,"&gt;="&amp;W$60,'500'!$A:$A,"&lt;="&amp;W$60,'500'!$D:$D,"&gt;"&amp;0)+sumifs('300'!$D:$D,'300'!$B:$B,$D87,'300'!$A:$A,"&gt;="&amp;W$60,'300'!$A:$A,"&lt;="&amp;W$61,'300'!$D:$D,"&gt;"&amp;0)+sumifs('600.VPA'!$D:$D,'600.VPA'!$B:$B,$D87,'600.VPA'!$A:$A,"&gt;="&amp;W$60,'600.VPA'!$A:$A,"&lt;="&amp;W$61,'600.VPA'!$D:$D,"&gt;"&amp;0)</f>
        <v>0</v>
      </c>
      <c r="X87" s="167">
        <f>sumifs(Boss!$D:$D,Boss!$B:$B,$D87,Boss!$A:$A,"&gt;="&amp;X$60,Boss!$A:$A,"&lt;="&amp;X$61,Boss!$D:$D,"&lt;"&amp;0)+sumifs(VPA.Director!$D:$D,VPA.Director!$B:$B,$D87,VPA.Director!$A:$A,"&gt;="&amp;X$60,VPA.Director!$A:$A,"&lt;="&amp;X$61,VPA.Director!$D:$D,"&lt;"&amp;0)+sumifs(ADC.Director!$D:$D,ADC.Director!$B:$B,$D87,ADC.Director!$A:$A,"&gt;="&amp;X$60,ADC.Director!$A:$A,"&lt;="&amp;X$61,ADC.Director!$D:$D,"&lt;"&amp;0)+sumifs('000'!$D:$D,'000'!$B:$B,$D87,'000'!$A:$A,"&gt;="&amp;X$60,'000'!$A:$A,"&lt;="&amp;X$61,'000'!$D:$D,"&lt;"&amp;0)+sumifs('500'!$D:$D,'500'!$B:$B,$D87,'500'!$A:$A,"&gt;="&amp;X$60,'500'!$A:$A,"&lt;="&amp;X$61,'500'!$D:$D,"&lt;"&amp;0)+sumifs('300'!$D:$D,'300'!$B:$B,$D87,'300'!$A:$A,"&gt;="&amp;X$60,'300'!$A:$A,"&lt;="&amp;X$61,'300'!$D:$D,"&lt;"&amp;0)+sumifs('600.VPA'!$D:$D,'600.VPA'!$B:$B,$D87,'600.VPA'!$A:$A,"&gt;="&amp;X$60,'600.VPA'!$A:$A,"&lt;="&amp;X$61,'600.VPA'!$D:$D,"&lt;"&amp;0)</f>
        <v>0</v>
      </c>
      <c r="Y87" s="168">
        <f>sumifs(Boss!$D:$D,Boss!$B:$B,$D87,Boss!$A:$A,"&gt;="&amp;Y$60,Boss!$A:$A,"&lt;="&amp;Y$61,Boss!$D:$D,"&gt;"&amp;0)+sumifs(VPA.Director!$D:$D,VPA.Director!$B:$B,$D87,VPA.Director!$A:$A,"&gt;="&amp;Y$60,VPA.Director!$A:$A,"&lt;="&amp;Y$61,VPA.Director!$D:$D,"&gt;"&amp;0)+sumifs(ADC.Director!$D:$D,ADC.Director!$B:$B,$D87,ADC.Director!$A:$A,"&gt;="&amp;Y$60,ADC.Director!$A:$A,"&lt;="&amp;Y$61,ADC.Director!$D:$D,"&gt;"&amp;0)+sumifs('000'!$D:$D,'000'!$B:$B,$D87,'000'!$A:$A,"&gt;="&amp;Y$60,'000'!$A:$A,"&lt;="&amp;Y$61,'000'!$D:$D,"&gt;"&amp;0)+sumifs('500'!$D:$D,'500'!$B:$B,$D87,'500'!$A:$A,"&gt;="&amp;Y$60,'500'!$A:$A,"&lt;="&amp;Y$60,'500'!$D:$D,"&gt;"&amp;0)+sumifs('300'!$D:$D,'300'!$B:$B,$D87,'300'!$A:$A,"&gt;="&amp;Y$60,'300'!$A:$A,"&lt;="&amp;Y$61,'300'!$D:$D,"&gt;"&amp;0)+sumifs('600.VPA'!$D:$D,'600.VPA'!$B:$B,$D87,'600.VPA'!$A:$A,"&gt;="&amp;Y$60,'600.VPA'!$A:$A,"&lt;="&amp;Y$61,'600.VPA'!$D:$D,"&gt;"&amp;0)</f>
        <v>0</v>
      </c>
      <c r="Z87" s="167">
        <f>sumifs(Boss!$D:$D,Boss!$B:$B,$D87,Boss!$A:$A,"&gt;="&amp;Z$60,Boss!$A:$A,"&lt;="&amp;Z$61,Boss!$D:$D,"&lt;"&amp;0)+sumifs(VPA.Director!$D:$D,VPA.Director!$B:$B,$D87,VPA.Director!$A:$A,"&gt;="&amp;Z$60,VPA.Director!$A:$A,"&lt;="&amp;Z$61,VPA.Director!$D:$D,"&lt;"&amp;0)+sumifs(ADC.Director!$D:$D,ADC.Director!$B:$B,$D87,ADC.Director!$A:$A,"&gt;="&amp;Z$60,ADC.Director!$A:$A,"&lt;="&amp;Z$61,ADC.Director!$D:$D,"&lt;"&amp;0)+sumifs('000'!$D:$D,'000'!$B:$B,$D87,'000'!$A:$A,"&gt;="&amp;Z$60,'000'!$A:$A,"&lt;="&amp;Z$61,'000'!$D:$D,"&lt;"&amp;0)+sumifs('500'!$D:$D,'500'!$B:$B,$D87,'500'!$A:$A,"&gt;="&amp;Z$60,'500'!$A:$A,"&lt;="&amp;Z$61,'500'!$D:$D,"&lt;"&amp;0)+sumifs('300'!$D:$D,'300'!$B:$B,$D87,'300'!$A:$A,"&gt;="&amp;Z$60,'300'!$A:$A,"&lt;="&amp;Z$61,'300'!$D:$D,"&lt;"&amp;0)+sumifs('600.VPA'!$D:$D,'600.VPA'!$B:$B,$D87,'600.VPA'!$A:$A,"&gt;="&amp;Z$60,'600.VPA'!$A:$A,"&lt;="&amp;Z$61,'600.VPA'!$D:$D,"&lt;"&amp;0)</f>
        <v>0</v>
      </c>
      <c r="AA87" s="168">
        <f>sumifs(Boss!$D:$D,Boss!$B:$B,$D87,Boss!$A:$A,"&gt;="&amp;AA$60,Boss!$A:$A,"&lt;="&amp;AA$61,Boss!$D:$D,"&gt;"&amp;0)+sumifs(VPA.Director!$D:$D,VPA.Director!$B:$B,$D87,VPA.Director!$A:$A,"&gt;="&amp;AA$60,VPA.Director!$A:$A,"&lt;="&amp;AA$61,VPA.Director!$D:$D,"&gt;"&amp;0)+sumifs(ADC.Director!$D:$D,ADC.Director!$B:$B,$D87,ADC.Director!$A:$A,"&gt;="&amp;AA$60,ADC.Director!$A:$A,"&lt;="&amp;AA$61,ADC.Director!$D:$D,"&gt;"&amp;0)+sumifs('000'!$D:$D,'000'!$B:$B,$D87,'000'!$A:$A,"&gt;="&amp;AA$60,'000'!$A:$A,"&lt;="&amp;AA$61,'000'!$D:$D,"&gt;"&amp;0)+sumifs('500'!$D:$D,'500'!$B:$B,$D87,'500'!$A:$A,"&gt;="&amp;AA$60,'500'!$A:$A,"&lt;="&amp;AA$60,'500'!$D:$D,"&gt;"&amp;0)+sumifs('300'!$D:$D,'300'!$B:$B,$D87,'300'!$A:$A,"&gt;="&amp;AA$60,'300'!$A:$A,"&lt;="&amp;AA$61,'300'!$D:$D,"&gt;"&amp;0)+sumifs('600.VPA'!$D:$D,'600.VPA'!$B:$B,$D87,'600.VPA'!$A:$A,"&gt;="&amp;AA$60,'600.VPA'!$A:$A,"&lt;="&amp;AA$61,'600.VPA'!$D:$D,"&gt;"&amp;0)</f>
        <v>0</v>
      </c>
      <c r="AB87" s="167">
        <f>sumifs(Boss!$D:$D,Boss!$B:$B,$D87,Boss!$A:$A,"&gt;="&amp;AB$60,Boss!$A:$A,"&lt;="&amp;AB$61,Boss!$D:$D,"&lt;"&amp;0)+sumifs(VPA.Director!$D:$D,VPA.Director!$B:$B,$D87,VPA.Director!$A:$A,"&gt;="&amp;AB$60,VPA.Director!$A:$A,"&lt;="&amp;AB$61,VPA.Director!$D:$D,"&lt;"&amp;0)+sumifs(ADC.Director!$D:$D,ADC.Director!$B:$B,$D87,ADC.Director!$A:$A,"&gt;="&amp;AB$60,ADC.Director!$A:$A,"&lt;="&amp;AB$61,ADC.Director!$D:$D,"&lt;"&amp;0)+sumifs('000'!$D:$D,'000'!$B:$B,$D87,'000'!$A:$A,"&gt;="&amp;AB$60,'000'!$A:$A,"&lt;="&amp;AB$61,'000'!$D:$D,"&lt;"&amp;0)+sumifs('500'!$D:$D,'500'!$B:$B,$D87,'500'!$A:$A,"&gt;="&amp;AB$60,'500'!$A:$A,"&lt;="&amp;AB$61,'500'!$D:$D,"&lt;"&amp;0)+sumifs('300'!$D:$D,'300'!$B:$B,$D87,'300'!$A:$A,"&gt;="&amp;AB$60,'300'!$A:$A,"&lt;="&amp;AB$61,'300'!$D:$D,"&lt;"&amp;0)+sumifs('600.VPA'!$D:$D,'600.VPA'!$B:$B,$D87,'600.VPA'!$A:$A,"&gt;="&amp;AB$60,'600.VPA'!$A:$A,"&lt;="&amp;AB$61,'600.VPA'!$D:$D,"&lt;"&amp;0)</f>
        <v>0</v>
      </c>
      <c r="AC87" s="168">
        <f>sumifs(Boss!$D:$D,Boss!$B:$B,$D87,Boss!$A:$A,"&gt;="&amp;AC$60,Boss!$A:$A,"&lt;="&amp;AC$61,Boss!$D:$D,"&gt;"&amp;0)+sumifs(VPA.Director!$D:$D,VPA.Director!$B:$B,$D87,VPA.Director!$A:$A,"&gt;="&amp;AC$60,VPA.Director!$A:$A,"&lt;="&amp;AC$61,VPA.Director!$D:$D,"&gt;"&amp;0)+sumifs(ADC.Director!$D:$D,ADC.Director!$B:$B,$D87,ADC.Director!$A:$A,"&gt;="&amp;AC$60,ADC.Director!$A:$A,"&lt;="&amp;AC$61,ADC.Director!$D:$D,"&gt;"&amp;0)+sumifs('000'!$D:$D,'000'!$B:$B,$D87,'000'!$A:$A,"&gt;="&amp;AC$60,'000'!$A:$A,"&lt;="&amp;AC$61,'000'!$D:$D,"&gt;"&amp;0)+sumifs('500'!$D:$D,'500'!$B:$B,$D87,'500'!$A:$A,"&gt;="&amp;AC$60,'500'!$A:$A,"&lt;="&amp;AC$60,'500'!$D:$D,"&gt;"&amp;0)+sumifs('300'!$D:$D,'300'!$B:$B,$D87,'300'!$A:$A,"&gt;="&amp;AC$60,'300'!$A:$A,"&lt;="&amp;AC$61,'300'!$D:$D,"&gt;"&amp;0)+sumifs('600.VPA'!$D:$D,'600.VPA'!$B:$B,$D87,'600.VPA'!$A:$A,"&gt;="&amp;AC$60,'600.VPA'!$A:$A,"&lt;="&amp;AC$61,'600.VPA'!$D:$D,"&gt;"&amp;0)</f>
        <v>0</v>
      </c>
      <c r="AD87" s="167">
        <f>sumifs(Boss!$D:$D,Boss!$B:$B,$D87,Boss!$A:$A,"&gt;="&amp;AD$60,Boss!$A:$A,"&lt;="&amp;AD$61,Boss!$D:$D,"&lt;"&amp;0)+sumifs(VPA.Director!$D:$D,VPA.Director!$B:$B,$D87,VPA.Director!$A:$A,"&gt;="&amp;AD$60,VPA.Director!$A:$A,"&lt;="&amp;AD$61,VPA.Director!$D:$D,"&lt;"&amp;0)+sumifs(ADC.Director!$D:$D,ADC.Director!$B:$B,$D87,ADC.Director!$A:$A,"&gt;="&amp;AD$60,ADC.Director!$A:$A,"&lt;="&amp;AD$61,ADC.Director!$D:$D,"&lt;"&amp;0)+sumifs('000'!$D:$D,'000'!$B:$B,$D87,'000'!$A:$A,"&gt;="&amp;AD$60,'000'!$A:$A,"&lt;="&amp;AD$61,'000'!$D:$D,"&lt;"&amp;0)+sumifs('500'!$D:$D,'500'!$B:$B,$D87,'500'!$A:$A,"&gt;="&amp;AD$60,'500'!$A:$A,"&lt;="&amp;AD$61,'500'!$D:$D,"&lt;"&amp;0)+sumifs('300'!$D:$D,'300'!$B:$B,$D87,'300'!$A:$A,"&gt;="&amp;AD$60,'300'!$A:$A,"&lt;="&amp;AD$61,'300'!$D:$D,"&lt;"&amp;0)+sumifs('600.VPA'!$D:$D,'600.VPA'!$B:$B,$D87,'600.VPA'!$A:$A,"&gt;="&amp;AD$60,'600.VPA'!$A:$A,"&lt;="&amp;AD$61,'600.VPA'!$D:$D,"&lt;"&amp;0)</f>
        <v>0</v>
      </c>
      <c r="AE87" s="168">
        <f>sumifs(Boss!$D:$D,Boss!$B:$B,$D87,Boss!$A:$A,"&gt;="&amp;AE$60,Boss!$A:$A,"&lt;="&amp;AE$61,Boss!$D:$D,"&gt;"&amp;0)+sumifs(VPA.Director!$D:$D,VPA.Director!$B:$B,$D87,VPA.Director!$A:$A,"&gt;="&amp;AE$60,VPA.Director!$A:$A,"&lt;="&amp;AE$61,VPA.Director!$D:$D,"&gt;"&amp;0)+sumifs(ADC.Director!$D:$D,ADC.Director!$B:$B,$D87,ADC.Director!$A:$A,"&gt;="&amp;AE$60,ADC.Director!$A:$A,"&lt;="&amp;AE$61,ADC.Director!$D:$D,"&gt;"&amp;0)+sumifs('000'!$D:$D,'000'!$B:$B,$D87,'000'!$A:$A,"&gt;="&amp;AE$60,'000'!$A:$A,"&lt;="&amp;AE$61,'000'!$D:$D,"&gt;"&amp;0)+sumifs('500'!$D:$D,'500'!$B:$B,$D87,'500'!$A:$A,"&gt;="&amp;AE$60,'500'!$A:$A,"&lt;="&amp;AE$60,'500'!$D:$D,"&gt;"&amp;0)+sumifs('300'!$D:$D,'300'!$B:$B,$D87,'300'!$A:$A,"&gt;="&amp;AE$60,'300'!$A:$A,"&lt;="&amp;AE$61,'300'!$D:$D,"&gt;"&amp;0)+sumifs('600.VPA'!$D:$D,'600.VPA'!$B:$B,$D87,'600.VPA'!$A:$A,"&gt;="&amp;AE$60,'600.VPA'!$A:$A,"&lt;="&amp;AE$61,'600.VPA'!$D:$D,"&gt;"&amp;0)</f>
        <v>0</v>
      </c>
      <c r="AF87" s="167">
        <f>sumifs(Boss!$D:$D,Boss!$B:$B,$D87,Boss!$A:$A,"&gt;="&amp;AF$60,Boss!$A:$A,"&lt;="&amp;AF$61,Boss!$D:$D,"&lt;"&amp;0)+sumifs(VPA.Director!$D:$D,VPA.Director!$B:$B,$D87,VPA.Director!$A:$A,"&gt;="&amp;AF$60,VPA.Director!$A:$A,"&lt;="&amp;AF$61,VPA.Director!$D:$D,"&lt;"&amp;0)+sumifs(ADC.Director!$D:$D,ADC.Director!$B:$B,$D87,ADC.Director!$A:$A,"&gt;="&amp;AF$60,ADC.Director!$A:$A,"&lt;="&amp;AF$61,ADC.Director!$D:$D,"&lt;"&amp;0)+sumifs('000'!$D:$D,'000'!$B:$B,$D87,'000'!$A:$A,"&gt;="&amp;AF$60,'000'!$A:$A,"&lt;="&amp;AF$61,'000'!$D:$D,"&lt;"&amp;0)+sumifs('500'!$D:$D,'500'!$B:$B,$D87,'500'!$A:$A,"&gt;="&amp;AF$60,'500'!$A:$A,"&lt;="&amp;AF$61,'500'!$D:$D,"&lt;"&amp;0)+sumifs('300'!$D:$D,'300'!$B:$B,$D87,'300'!$A:$A,"&gt;="&amp;AF$60,'300'!$A:$A,"&lt;="&amp;AF$61,'300'!$D:$D,"&lt;"&amp;0)+sumifs('600.VPA'!$D:$D,'600.VPA'!$B:$B,$D87,'600.VPA'!$A:$A,"&gt;="&amp;AF$60,'600.VPA'!$A:$A,"&lt;="&amp;AF$61,'600.VPA'!$D:$D,"&lt;"&amp;0)</f>
        <v>0</v>
      </c>
      <c r="AG87" s="168">
        <f>sumifs(Boss!$D:$D,Boss!$B:$B,$D87,Boss!$A:$A,"&gt;="&amp;AG$60,Boss!$A:$A,"&lt;="&amp;AG$61,Boss!$D:$D,"&gt;"&amp;0)+sumifs(VPA.Director!$D:$D,VPA.Director!$B:$B,$D87,VPA.Director!$A:$A,"&gt;="&amp;AG$60,VPA.Director!$A:$A,"&lt;="&amp;AG$61,VPA.Director!$D:$D,"&gt;"&amp;0)+sumifs(ADC.Director!$D:$D,ADC.Director!$B:$B,$D87,ADC.Director!$A:$A,"&gt;="&amp;AG$60,ADC.Director!$A:$A,"&lt;="&amp;AG$61,ADC.Director!$D:$D,"&gt;"&amp;0)+sumifs('000'!$D:$D,'000'!$B:$B,$D87,'000'!$A:$A,"&gt;="&amp;AG$60,'000'!$A:$A,"&lt;="&amp;AG$61,'000'!$D:$D,"&gt;"&amp;0)+sumifs('500'!$D:$D,'500'!$B:$B,$D87,'500'!$A:$A,"&gt;="&amp;AG$60,'500'!$A:$A,"&lt;="&amp;AG$60,'500'!$D:$D,"&gt;"&amp;0)+sumifs('300'!$D:$D,'300'!$B:$B,$D87,'300'!$A:$A,"&gt;="&amp;AG$60,'300'!$A:$A,"&lt;="&amp;AG$61,'300'!$D:$D,"&gt;"&amp;0)+sumifs('600.VPA'!$D:$D,'600.VPA'!$B:$B,$D87,'600.VPA'!$A:$A,"&gt;="&amp;AG$60,'600.VPA'!$A:$A,"&lt;="&amp;AG$61,'600.VPA'!$D:$D,"&gt;"&amp;0)</f>
        <v>0</v>
      </c>
      <c r="AH87" s="169">
        <f t="shared" ref="AH87:AI87" si="25">sum(I87,K87,M87,O87,Q87,S87,V87,X87,Z87,AB87,AD87,AF87)</f>
        <v>0</v>
      </c>
      <c r="AI87" s="170">
        <f t="shared" si="25"/>
        <v>0</v>
      </c>
      <c r="AJ87" s="169">
        <f t="shared" si="4"/>
        <v>0</v>
      </c>
      <c r="AK87" s="89"/>
      <c r="AL87" s="89"/>
      <c r="AM87" s="89"/>
      <c r="AN87" s="89"/>
      <c r="AO87" s="89"/>
      <c r="AP87" s="89"/>
      <c r="AQ87" s="89"/>
      <c r="AR87" s="89"/>
      <c r="AS87" s="89"/>
      <c r="AT87" s="89"/>
      <c r="AU87" s="89"/>
    </row>
    <row r="88">
      <c r="A88" s="86"/>
      <c r="B88" s="163"/>
      <c r="D88" s="165" t="s">
        <v>124</v>
      </c>
      <c r="E88" s="166" t="s">
        <v>29</v>
      </c>
      <c r="F88" s="165" t="s">
        <v>164</v>
      </c>
      <c r="G88" s="165" t="s">
        <v>125</v>
      </c>
      <c r="H88" s="165" t="s">
        <v>68</v>
      </c>
      <c r="I88" s="167">
        <f>sumifs(Boss!$D:$D,Boss!$B:$B,$D88,Boss!$A:$A,"&gt;="&amp;I$60,Boss!$A:$A,"&lt;="&amp;I$61,Boss!$D:$D,"&lt;"&amp;0)+sumifs(VPA.Director!$D:$D,VPA.Director!$B:$B,$D88,VPA.Director!$A:$A,"&gt;="&amp;I$60,VPA.Director!$A:$A,"&lt;="&amp;I$61,VPA.Director!$D:$D,"&lt;"&amp;0)+sumifs(ADC.Director!$D:$D,ADC.Director!$B:$B,$D88,ADC.Director!$A:$A,"&gt;="&amp;I$60,ADC.Director!$A:$A,"&lt;="&amp;I$61,ADC.Director!$D:$D,"&lt;"&amp;0)+sumifs('000'!$D:$D,'000'!$B:$B,$D88,'000'!$A:$A,"&gt;="&amp;I$60,'000'!$A:$A,"&lt;="&amp;I$61,'000'!$D:$D,"&lt;"&amp;0)+sumifs('500'!$D:$D,'500'!$B:$B,$D88,'500'!$A:$A,"&gt;="&amp;I$60,'500'!$A:$A,"&lt;="&amp;I$61,'500'!$D:$D,"&lt;"&amp;0)+sumifs('300'!$D:$D,'300'!$B:$B,$D88,'300'!$A:$A,"&gt;="&amp;I$60,'300'!$A:$A,"&lt;="&amp;I$61,'300'!$D:$D,"&lt;"&amp;0)+sumifs('600.VPA'!$D:$D,'600.VPA'!$B:$B,$D88,'600.VPA'!$A:$A,"&gt;="&amp;I$60,'600.VPA'!$A:$A,"&lt;="&amp;I$61,'600.VPA'!$D:$D,"&lt;"&amp;0)</f>
        <v>0</v>
      </c>
      <c r="J88" s="168">
        <f>sumifs(Boss!$D:$D,Boss!$B:$B,$D88,Boss!$A:$A,"&gt;="&amp;J$60,Boss!$A:$A,"&lt;="&amp;J$61,Boss!$D:$D,"&gt;"&amp;0)+sumifs(VPA.Director!$D:$D,VPA.Director!$B:$B,$D88,VPA.Director!$A:$A,"&gt;="&amp;J$60,VPA.Director!$A:$A,"&lt;="&amp;J$61,VPA.Director!$D:$D,"&gt;"&amp;0)+sumifs(ADC.Director!$D:$D,ADC.Director!$B:$B,$D88,ADC.Director!$A:$A,"&gt;="&amp;J$60,ADC.Director!$A:$A,"&lt;="&amp;J$61,ADC.Director!$D:$D,"&gt;"&amp;0)+sumifs('000'!$D:$D,'000'!$B:$B,$D88,'000'!$A:$A,"&gt;="&amp;J$60,'000'!$A:$A,"&lt;="&amp;J$61,'000'!$D:$D,"&gt;"&amp;0)+sumifs('500'!$D:$D,'500'!$B:$B,$D88,'500'!$A:$A,"&gt;="&amp;J$60,'500'!$A:$A,"&lt;="&amp;J$60,'500'!$D:$D,"&gt;"&amp;0)+sumifs('300'!$D:$D,'300'!$B:$B,$D88,'300'!$A:$A,"&gt;="&amp;J$60,'300'!$A:$A,"&lt;="&amp;J$61,'300'!$D:$D,"&gt;"&amp;0)+sumifs('600.VPA'!$D:$D,'600.VPA'!$B:$B,$D88,'600.VPA'!$A:$A,"&gt;="&amp;J$60,'600.VPA'!$A:$A,"&lt;="&amp;J$61,'600.VPA'!$D:$D,"&gt;"&amp;0)</f>
        <v>0</v>
      </c>
      <c r="K88" s="167">
        <f>sumifs(Boss!$D:$D,Boss!$B:$B,$D88,Boss!$A:$A,"&gt;="&amp;K$60,Boss!$A:$A,"&lt;="&amp;K$61,Boss!$D:$D,"&lt;"&amp;0)+sumifs(VPA.Director!$D:$D,VPA.Director!$B:$B,$D88,VPA.Director!$A:$A,"&gt;="&amp;K$60,VPA.Director!$A:$A,"&lt;="&amp;K$61,VPA.Director!$D:$D,"&lt;"&amp;0)+sumifs(ADC.Director!$D:$D,ADC.Director!$B:$B,$D88,ADC.Director!$A:$A,"&gt;="&amp;K$60,ADC.Director!$A:$A,"&lt;="&amp;K$61,ADC.Director!$D:$D,"&lt;"&amp;0)+sumifs('000'!$D:$D,'000'!$B:$B,$D88,'000'!$A:$A,"&gt;="&amp;K$60,'000'!$A:$A,"&lt;="&amp;K$61,'000'!$D:$D,"&lt;"&amp;0)+sumifs('500'!$D:$D,'500'!$B:$B,$D88,'500'!$A:$A,"&gt;="&amp;K$60,'500'!$A:$A,"&lt;="&amp;K$61,'500'!$D:$D,"&lt;"&amp;0)+sumifs('300'!$D:$D,'300'!$B:$B,$D88,'300'!$A:$A,"&gt;="&amp;K$60,'300'!$A:$A,"&lt;="&amp;K$61,'300'!$D:$D,"&lt;"&amp;0)+sumifs('600.VPA'!$D:$D,'600.VPA'!$B:$B,$D88,'600.VPA'!$A:$A,"&gt;="&amp;K$60,'600.VPA'!$A:$A,"&lt;="&amp;K$61,'600.VPA'!$D:$D,"&lt;"&amp;0)</f>
        <v>0</v>
      </c>
      <c r="L88" s="168">
        <f>sumifs(Boss!$D:$D,Boss!$B:$B,$D88,Boss!$A:$A,"&gt;="&amp;L$60,Boss!$A:$A,"&lt;="&amp;L$61,Boss!$D:$D,"&gt;"&amp;0)+sumifs(VPA.Director!$D:$D,VPA.Director!$B:$B,$D88,VPA.Director!$A:$A,"&gt;="&amp;L$60,VPA.Director!$A:$A,"&lt;="&amp;L$61,VPA.Director!$D:$D,"&gt;"&amp;0)+sumifs(ADC.Director!$D:$D,ADC.Director!$B:$B,$D88,ADC.Director!$A:$A,"&gt;="&amp;L$60,ADC.Director!$A:$A,"&lt;="&amp;L$61,ADC.Director!$D:$D,"&gt;"&amp;0)+sumifs('000'!$D:$D,'000'!$B:$B,$D88,'000'!$A:$A,"&gt;="&amp;L$60,'000'!$A:$A,"&lt;="&amp;L$61,'000'!$D:$D,"&gt;"&amp;0)+sumifs('500'!$D:$D,'500'!$B:$B,$D88,'500'!$A:$A,"&gt;="&amp;L$60,'500'!$A:$A,"&lt;="&amp;L$60,'500'!$D:$D,"&gt;"&amp;0)+sumifs('300'!$D:$D,'300'!$B:$B,$D88,'300'!$A:$A,"&gt;="&amp;L$60,'300'!$A:$A,"&lt;="&amp;L$61,'300'!$D:$D,"&gt;"&amp;0)+sumifs('600.VPA'!$D:$D,'600.VPA'!$B:$B,$D88,'600.VPA'!$A:$A,"&gt;="&amp;L$60,'600.VPA'!$A:$A,"&lt;="&amp;L$61,'600.VPA'!$D:$D,"&gt;"&amp;0)</f>
        <v>0</v>
      </c>
      <c r="M88" s="167">
        <f>sumifs(Boss!$D:$D,Boss!$B:$B,$D88,Boss!$A:$A,"&gt;="&amp;M$60,Boss!$A:$A,"&lt;="&amp;M$61,Boss!$D:$D,"&lt;"&amp;0)+sumifs(VPA.Director!$D:$D,VPA.Director!$B:$B,$D88,VPA.Director!$A:$A,"&gt;="&amp;M$60,VPA.Director!$A:$A,"&lt;="&amp;M$61,VPA.Director!$D:$D,"&lt;"&amp;0)+sumifs(ADC.Director!$D:$D,ADC.Director!$B:$B,$D88,ADC.Director!$A:$A,"&gt;="&amp;M$60,ADC.Director!$A:$A,"&lt;="&amp;M$61,ADC.Director!$D:$D,"&lt;"&amp;0)+sumifs('000'!$D:$D,'000'!$B:$B,$D88,'000'!$A:$A,"&gt;="&amp;M$60,'000'!$A:$A,"&lt;="&amp;M$61,'000'!$D:$D,"&lt;"&amp;0)+sumifs('500'!$D:$D,'500'!$B:$B,$D88,'500'!$A:$A,"&gt;="&amp;M$60,'500'!$A:$A,"&lt;="&amp;M$61,'500'!$D:$D,"&lt;"&amp;0)+sumifs('300'!$D:$D,'300'!$B:$B,$D88,'300'!$A:$A,"&gt;="&amp;M$60,'300'!$A:$A,"&lt;="&amp;M$61,'300'!$D:$D,"&lt;"&amp;0)+sumifs('600.VPA'!$D:$D,'600.VPA'!$B:$B,$D88,'600.VPA'!$A:$A,"&gt;="&amp;M$60,'600.VPA'!$A:$A,"&lt;="&amp;M$61,'600.VPA'!$D:$D,"&lt;"&amp;0)</f>
        <v>0</v>
      </c>
      <c r="N88" s="168">
        <f>sumifs(Boss!$D:$D,Boss!$B:$B,$D88,Boss!$A:$A,"&gt;="&amp;N$60,Boss!$A:$A,"&lt;="&amp;N$61,Boss!$D:$D,"&gt;"&amp;0)+sumifs(VPA.Director!$D:$D,VPA.Director!$B:$B,$D88,VPA.Director!$A:$A,"&gt;="&amp;N$60,VPA.Director!$A:$A,"&lt;="&amp;N$61,VPA.Director!$D:$D,"&gt;"&amp;0)+sumifs(ADC.Director!$D:$D,ADC.Director!$B:$B,$D88,ADC.Director!$A:$A,"&gt;="&amp;N$60,ADC.Director!$A:$A,"&lt;="&amp;N$61,ADC.Director!$D:$D,"&gt;"&amp;0)+sumifs('000'!$D:$D,'000'!$B:$B,$D88,'000'!$A:$A,"&gt;="&amp;N$60,'000'!$A:$A,"&lt;="&amp;N$61,'000'!$D:$D,"&gt;"&amp;0)+sumifs('500'!$D:$D,'500'!$B:$B,$D88,'500'!$A:$A,"&gt;="&amp;N$60,'500'!$A:$A,"&lt;="&amp;N$60,'500'!$D:$D,"&gt;"&amp;0)+sumifs('300'!$D:$D,'300'!$B:$B,$D88,'300'!$A:$A,"&gt;="&amp;N$60,'300'!$A:$A,"&lt;="&amp;N$61,'300'!$D:$D,"&gt;"&amp;0)+sumifs('600.VPA'!$D:$D,'600.VPA'!$B:$B,$D88,'600.VPA'!$A:$A,"&gt;="&amp;N$60,'600.VPA'!$A:$A,"&lt;="&amp;N$61,'600.VPA'!$D:$D,"&gt;"&amp;0)</f>
        <v>0</v>
      </c>
      <c r="O88" s="167">
        <f>sumifs(Boss!$D:$D,Boss!$B:$B,$D88,Boss!$A:$A,"&gt;="&amp;O$60,Boss!$A:$A,"&lt;="&amp;O$61,Boss!$D:$D,"&lt;"&amp;0)+sumifs(VPA.Director!$D:$D,VPA.Director!$B:$B,$D88,VPA.Director!$A:$A,"&gt;="&amp;O$60,VPA.Director!$A:$A,"&lt;="&amp;O$61,VPA.Director!$D:$D,"&lt;"&amp;0)+sumifs(ADC.Director!$D:$D,ADC.Director!$B:$B,$D88,ADC.Director!$A:$A,"&gt;="&amp;O$60,ADC.Director!$A:$A,"&lt;="&amp;O$61,ADC.Director!$D:$D,"&lt;"&amp;0)+sumifs('000'!$D:$D,'000'!$B:$B,$D88,'000'!$A:$A,"&gt;="&amp;O$60,'000'!$A:$A,"&lt;="&amp;O$61,'000'!$D:$D,"&lt;"&amp;0)+sumifs('500'!$D:$D,'500'!$B:$B,$D88,'500'!$A:$A,"&gt;="&amp;O$60,'500'!$A:$A,"&lt;="&amp;O$61,'500'!$D:$D,"&lt;"&amp;0)+sumifs('300'!$D:$D,'300'!$B:$B,$D88,'300'!$A:$A,"&gt;="&amp;O$60,'300'!$A:$A,"&lt;="&amp;O$61,'300'!$D:$D,"&lt;"&amp;0)+sumifs('600.VPA'!$D:$D,'600.VPA'!$B:$B,$D88,'600.VPA'!$A:$A,"&gt;="&amp;O$60,'600.VPA'!$A:$A,"&lt;="&amp;O$61,'600.VPA'!$D:$D,"&lt;"&amp;0)</f>
        <v>0</v>
      </c>
      <c r="P88" s="168">
        <f>sumifs(Boss!$D:$D,Boss!$B:$B,$D88,Boss!$A:$A,"&gt;="&amp;P$60,Boss!$A:$A,"&lt;="&amp;P$61,Boss!$D:$D,"&gt;"&amp;0)+sumifs(VPA.Director!$D:$D,VPA.Director!$B:$B,$D88,VPA.Director!$A:$A,"&gt;="&amp;P$60,VPA.Director!$A:$A,"&lt;="&amp;P$61,VPA.Director!$D:$D,"&gt;"&amp;0)+sumifs(ADC.Director!$D:$D,ADC.Director!$B:$B,$D88,ADC.Director!$A:$A,"&gt;="&amp;P$60,ADC.Director!$A:$A,"&lt;="&amp;P$61,ADC.Director!$D:$D,"&gt;"&amp;0)+sumifs('000'!$D:$D,'000'!$B:$B,$D88,'000'!$A:$A,"&gt;="&amp;P$60,'000'!$A:$A,"&lt;="&amp;P$61,'000'!$D:$D,"&gt;"&amp;0)+sumifs('500'!$D:$D,'500'!$B:$B,$D88,'500'!$A:$A,"&gt;="&amp;P$60,'500'!$A:$A,"&lt;="&amp;P$60,'500'!$D:$D,"&gt;"&amp;0)+sumifs('300'!$D:$D,'300'!$B:$B,$D88,'300'!$A:$A,"&gt;="&amp;P$60,'300'!$A:$A,"&lt;="&amp;P$61,'300'!$D:$D,"&gt;"&amp;0)+sumifs('600.VPA'!$D:$D,'600.VPA'!$B:$B,$D88,'600.VPA'!$A:$A,"&gt;="&amp;P$60,'600.VPA'!$A:$A,"&lt;="&amp;P$61,'600.VPA'!$D:$D,"&gt;"&amp;0)</f>
        <v>0</v>
      </c>
      <c r="Q88" s="167">
        <f>sumifs(Boss!$D:$D,Boss!$B:$B,$D88,Boss!$A:$A,"&gt;="&amp;Q$60,Boss!$A:$A,"&lt;="&amp;Q$61,Boss!$D:$D,"&lt;"&amp;0)+sumifs(VPA.Director!$D:$D,VPA.Director!$B:$B,$D88,VPA.Director!$A:$A,"&gt;="&amp;Q$60,VPA.Director!$A:$A,"&lt;="&amp;Q$61,VPA.Director!$D:$D,"&lt;"&amp;0)+sumifs(ADC.Director!$D:$D,ADC.Director!$B:$B,$D88,ADC.Director!$A:$A,"&gt;="&amp;Q$60,ADC.Director!$A:$A,"&lt;="&amp;Q$61,ADC.Director!$D:$D,"&lt;"&amp;0)+sumifs('000'!$D:$D,'000'!$B:$B,$D88,'000'!$A:$A,"&gt;="&amp;Q$60,'000'!$A:$A,"&lt;="&amp;Q$61,'000'!$D:$D,"&lt;"&amp;0)+sumifs('500'!$D:$D,'500'!$B:$B,$D88,'500'!$A:$A,"&gt;="&amp;Q$60,'500'!$A:$A,"&lt;="&amp;Q$61,'500'!$D:$D,"&lt;"&amp;0)+sumifs('300'!$D:$D,'300'!$B:$B,$D88,'300'!$A:$A,"&gt;="&amp;Q$60,'300'!$A:$A,"&lt;="&amp;Q$61,'300'!$D:$D,"&lt;"&amp;0)+sumifs('600.VPA'!$D:$D,'600.VPA'!$B:$B,$D88,'600.VPA'!$A:$A,"&gt;="&amp;Q$60,'600.VPA'!$A:$A,"&lt;="&amp;Q$61,'600.VPA'!$D:$D,"&lt;"&amp;0)</f>
        <v>0</v>
      </c>
      <c r="R88" s="168">
        <f>sumifs(Boss!$D:$D,Boss!$B:$B,$D88,Boss!$A:$A,"&gt;="&amp;R$60,Boss!$A:$A,"&lt;="&amp;R$61,Boss!$D:$D,"&gt;"&amp;0)+sumifs(VPA.Director!$D:$D,VPA.Director!$B:$B,$D88,VPA.Director!$A:$A,"&gt;="&amp;R$60,VPA.Director!$A:$A,"&lt;="&amp;R$61,VPA.Director!$D:$D,"&gt;"&amp;0)+sumifs(ADC.Director!$D:$D,ADC.Director!$B:$B,$D88,ADC.Director!$A:$A,"&gt;="&amp;R$60,ADC.Director!$A:$A,"&lt;="&amp;R$61,ADC.Director!$D:$D,"&gt;"&amp;0)+sumifs('000'!$D:$D,'000'!$B:$B,$D88,'000'!$A:$A,"&gt;="&amp;R$60,'000'!$A:$A,"&lt;="&amp;R$61,'000'!$D:$D,"&gt;"&amp;0)+sumifs('500'!$D:$D,'500'!$B:$B,$D88,'500'!$A:$A,"&gt;="&amp;R$60,'500'!$A:$A,"&lt;="&amp;R$60,'500'!$D:$D,"&gt;"&amp;0)+sumifs('300'!$D:$D,'300'!$B:$B,$D88,'300'!$A:$A,"&gt;="&amp;R$60,'300'!$A:$A,"&lt;="&amp;R$61,'300'!$D:$D,"&gt;"&amp;0)+sumifs('600.VPA'!$D:$D,'600.VPA'!$B:$B,$D88,'600.VPA'!$A:$A,"&gt;="&amp;R$60,'600.VPA'!$A:$A,"&lt;="&amp;R$61,'600.VPA'!$D:$D,"&gt;"&amp;0)</f>
        <v>0</v>
      </c>
      <c r="S88" s="167">
        <f>sumifs(Boss!$D:$D,Boss!$B:$B,$D88,Boss!$A:$A,"&gt;="&amp;S$60,Boss!$A:$A,"&lt;="&amp;S$61,Boss!$D:$D,"&lt;"&amp;0)+sumifs(VPA.Director!$D:$D,VPA.Director!$B:$B,$D88,VPA.Director!$A:$A,"&gt;="&amp;S$60,VPA.Director!$A:$A,"&lt;="&amp;S$61,VPA.Director!$D:$D,"&lt;"&amp;0)+sumifs(ADC.Director!$D:$D,ADC.Director!$B:$B,$D88,ADC.Director!$A:$A,"&gt;="&amp;S$60,ADC.Director!$A:$A,"&lt;="&amp;S$61,ADC.Director!$D:$D,"&lt;"&amp;0)+sumifs('000'!$D:$D,'000'!$B:$B,$D88,'000'!$A:$A,"&gt;="&amp;S$60,'000'!$A:$A,"&lt;="&amp;S$61,'000'!$D:$D,"&lt;"&amp;0)+sumifs('500'!$D:$D,'500'!$B:$B,$D88,'500'!$A:$A,"&gt;="&amp;S$60,'500'!$A:$A,"&lt;="&amp;S$61,'500'!$D:$D,"&lt;"&amp;0)+sumifs('300'!$D:$D,'300'!$B:$B,$D88,'300'!$A:$A,"&gt;="&amp;S$60,'300'!$A:$A,"&lt;="&amp;S$61,'300'!$D:$D,"&lt;"&amp;0)+sumifs('600.VPA'!$D:$D,'600.VPA'!$B:$B,$D88,'600.VPA'!$A:$A,"&gt;="&amp;S$60,'600.VPA'!$A:$A,"&lt;="&amp;S$61,'600.VPA'!$D:$D,"&lt;"&amp;0)</f>
        <v>0</v>
      </c>
      <c r="T88" s="168">
        <f>sumifs(Boss!$D:$D,Boss!$B:$B,$D88,Boss!$A:$A,"&gt;="&amp;T$60,Boss!$A:$A,"&lt;="&amp;T$61,Boss!$D:$D,"&gt;"&amp;0)+sumifs(VPA.Director!$D:$D,VPA.Director!$B:$B,$D88,VPA.Director!$A:$A,"&gt;="&amp;T$60,VPA.Director!$A:$A,"&lt;="&amp;T$61,VPA.Director!$D:$D,"&gt;"&amp;0)+sumifs(ADC.Director!$D:$D,ADC.Director!$B:$B,$D88,ADC.Director!$A:$A,"&gt;="&amp;T$60,ADC.Director!$A:$A,"&lt;="&amp;T$61,ADC.Director!$D:$D,"&gt;"&amp;0)+sumifs('000'!$D:$D,'000'!$B:$B,$D88,'000'!$A:$A,"&gt;="&amp;T$60,'000'!$A:$A,"&lt;="&amp;T$61,'000'!$D:$D,"&gt;"&amp;0)+sumifs('500'!$D:$D,'500'!$B:$B,$D88,'500'!$A:$A,"&gt;="&amp;T$60,'500'!$A:$A,"&lt;="&amp;T$60,'500'!$D:$D,"&gt;"&amp;0)+sumifs('300'!$D:$D,'300'!$B:$B,$D88,'300'!$A:$A,"&gt;="&amp;T$60,'300'!$A:$A,"&lt;="&amp;T$61,'300'!$D:$D,"&gt;"&amp;0)+sumifs('600.VPA'!$D:$D,'600.VPA'!$B:$B,$D88,'600.VPA'!$A:$A,"&gt;="&amp;T$60,'600.VPA'!$A:$A,"&lt;="&amp;T$61,'600.VPA'!$D:$D,"&gt;"&amp;0)</f>
        <v>0</v>
      </c>
      <c r="U88" s="163"/>
      <c r="V88" s="167">
        <f>sumifs(Boss!$D:$D,Boss!$B:$B,$D88,Boss!$A:$A,"&gt;="&amp;V$60,Boss!$A:$A,"&lt;="&amp;V$61,Boss!$D:$D,"&lt;"&amp;0)+sumifs(VPA.Director!$D:$D,VPA.Director!$B:$B,$D88,VPA.Director!$A:$A,"&gt;="&amp;V$60,VPA.Director!$A:$A,"&lt;="&amp;V$61,VPA.Director!$D:$D,"&lt;"&amp;0)+sumifs(ADC.Director!$D:$D,ADC.Director!$B:$B,$D88,ADC.Director!$A:$A,"&gt;="&amp;V$60,ADC.Director!$A:$A,"&lt;="&amp;V$61,ADC.Director!$D:$D,"&lt;"&amp;0)+sumifs('000'!$D:$D,'000'!$B:$B,$D88,'000'!$A:$A,"&gt;="&amp;V$60,'000'!$A:$A,"&lt;="&amp;V$61,'000'!$D:$D,"&lt;"&amp;0)+sumifs('500'!$D:$D,'500'!$B:$B,$D88,'500'!$A:$A,"&gt;="&amp;V$60,'500'!$A:$A,"&lt;="&amp;V$61,'500'!$D:$D,"&lt;"&amp;0)+sumifs('300'!$D:$D,'300'!$B:$B,$D88,'300'!$A:$A,"&gt;="&amp;V$60,'300'!$A:$A,"&lt;="&amp;V$61,'300'!$D:$D,"&lt;"&amp;0)+sumifs('600.VPA'!$D:$D,'600.VPA'!$B:$B,$D88,'600.VPA'!$A:$A,"&gt;="&amp;V$60,'600.VPA'!$A:$A,"&lt;="&amp;V$61,'600.VPA'!$D:$D,"&lt;"&amp;0)</f>
        <v>0</v>
      </c>
      <c r="W88" s="168">
        <f>sumifs(Boss!$D:$D,Boss!$B:$B,$D88,Boss!$A:$A,"&gt;="&amp;W$60,Boss!$A:$A,"&lt;="&amp;W$61,Boss!$D:$D,"&gt;"&amp;0)+sumifs(VPA.Director!$D:$D,VPA.Director!$B:$B,$D88,VPA.Director!$A:$A,"&gt;="&amp;W$60,VPA.Director!$A:$A,"&lt;="&amp;W$61,VPA.Director!$D:$D,"&gt;"&amp;0)+sumifs(ADC.Director!$D:$D,ADC.Director!$B:$B,$D88,ADC.Director!$A:$A,"&gt;="&amp;W$60,ADC.Director!$A:$A,"&lt;="&amp;W$61,ADC.Director!$D:$D,"&gt;"&amp;0)+sumifs('000'!$D:$D,'000'!$B:$B,$D88,'000'!$A:$A,"&gt;="&amp;W$60,'000'!$A:$A,"&lt;="&amp;W$61,'000'!$D:$D,"&gt;"&amp;0)+sumifs('500'!$D:$D,'500'!$B:$B,$D88,'500'!$A:$A,"&gt;="&amp;W$60,'500'!$A:$A,"&lt;="&amp;W$60,'500'!$D:$D,"&gt;"&amp;0)+sumifs('300'!$D:$D,'300'!$B:$B,$D88,'300'!$A:$A,"&gt;="&amp;W$60,'300'!$A:$A,"&lt;="&amp;W$61,'300'!$D:$D,"&gt;"&amp;0)+sumifs('600.VPA'!$D:$D,'600.VPA'!$B:$B,$D88,'600.VPA'!$A:$A,"&gt;="&amp;W$60,'600.VPA'!$A:$A,"&lt;="&amp;W$61,'600.VPA'!$D:$D,"&gt;"&amp;0)</f>
        <v>0</v>
      </c>
      <c r="X88" s="167">
        <f>sumifs(Boss!$D:$D,Boss!$B:$B,$D88,Boss!$A:$A,"&gt;="&amp;X$60,Boss!$A:$A,"&lt;="&amp;X$61,Boss!$D:$D,"&lt;"&amp;0)+sumifs(VPA.Director!$D:$D,VPA.Director!$B:$B,$D88,VPA.Director!$A:$A,"&gt;="&amp;X$60,VPA.Director!$A:$A,"&lt;="&amp;X$61,VPA.Director!$D:$D,"&lt;"&amp;0)+sumifs(ADC.Director!$D:$D,ADC.Director!$B:$B,$D88,ADC.Director!$A:$A,"&gt;="&amp;X$60,ADC.Director!$A:$A,"&lt;="&amp;X$61,ADC.Director!$D:$D,"&lt;"&amp;0)+sumifs('000'!$D:$D,'000'!$B:$B,$D88,'000'!$A:$A,"&gt;="&amp;X$60,'000'!$A:$A,"&lt;="&amp;X$61,'000'!$D:$D,"&lt;"&amp;0)+sumifs('500'!$D:$D,'500'!$B:$B,$D88,'500'!$A:$A,"&gt;="&amp;X$60,'500'!$A:$A,"&lt;="&amp;X$61,'500'!$D:$D,"&lt;"&amp;0)+sumifs('300'!$D:$D,'300'!$B:$B,$D88,'300'!$A:$A,"&gt;="&amp;X$60,'300'!$A:$A,"&lt;="&amp;X$61,'300'!$D:$D,"&lt;"&amp;0)+sumifs('600.VPA'!$D:$D,'600.VPA'!$B:$B,$D88,'600.VPA'!$A:$A,"&gt;="&amp;X$60,'600.VPA'!$A:$A,"&lt;="&amp;X$61,'600.VPA'!$D:$D,"&lt;"&amp;0)</f>
        <v>0</v>
      </c>
      <c r="Y88" s="168">
        <f>sumifs(Boss!$D:$D,Boss!$B:$B,$D88,Boss!$A:$A,"&gt;="&amp;Y$60,Boss!$A:$A,"&lt;="&amp;Y$61,Boss!$D:$D,"&gt;"&amp;0)+sumifs(VPA.Director!$D:$D,VPA.Director!$B:$B,$D88,VPA.Director!$A:$A,"&gt;="&amp;Y$60,VPA.Director!$A:$A,"&lt;="&amp;Y$61,VPA.Director!$D:$D,"&gt;"&amp;0)+sumifs(ADC.Director!$D:$D,ADC.Director!$B:$B,$D88,ADC.Director!$A:$A,"&gt;="&amp;Y$60,ADC.Director!$A:$A,"&lt;="&amp;Y$61,ADC.Director!$D:$D,"&gt;"&amp;0)+sumifs('000'!$D:$D,'000'!$B:$B,$D88,'000'!$A:$A,"&gt;="&amp;Y$60,'000'!$A:$A,"&lt;="&amp;Y$61,'000'!$D:$D,"&gt;"&amp;0)+sumifs('500'!$D:$D,'500'!$B:$B,$D88,'500'!$A:$A,"&gt;="&amp;Y$60,'500'!$A:$A,"&lt;="&amp;Y$60,'500'!$D:$D,"&gt;"&amp;0)+sumifs('300'!$D:$D,'300'!$B:$B,$D88,'300'!$A:$A,"&gt;="&amp;Y$60,'300'!$A:$A,"&lt;="&amp;Y$61,'300'!$D:$D,"&gt;"&amp;0)+sumifs('600.VPA'!$D:$D,'600.VPA'!$B:$B,$D88,'600.VPA'!$A:$A,"&gt;="&amp;Y$60,'600.VPA'!$A:$A,"&lt;="&amp;Y$61,'600.VPA'!$D:$D,"&gt;"&amp;0)</f>
        <v>0</v>
      </c>
      <c r="Z88" s="167">
        <f>sumifs(Boss!$D:$D,Boss!$B:$B,$D88,Boss!$A:$A,"&gt;="&amp;Z$60,Boss!$A:$A,"&lt;="&amp;Z$61,Boss!$D:$D,"&lt;"&amp;0)+sumifs(VPA.Director!$D:$D,VPA.Director!$B:$B,$D88,VPA.Director!$A:$A,"&gt;="&amp;Z$60,VPA.Director!$A:$A,"&lt;="&amp;Z$61,VPA.Director!$D:$D,"&lt;"&amp;0)+sumifs(ADC.Director!$D:$D,ADC.Director!$B:$B,$D88,ADC.Director!$A:$A,"&gt;="&amp;Z$60,ADC.Director!$A:$A,"&lt;="&amp;Z$61,ADC.Director!$D:$D,"&lt;"&amp;0)+sumifs('000'!$D:$D,'000'!$B:$B,$D88,'000'!$A:$A,"&gt;="&amp;Z$60,'000'!$A:$A,"&lt;="&amp;Z$61,'000'!$D:$D,"&lt;"&amp;0)+sumifs('500'!$D:$D,'500'!$B:$B,$D88,'500'!$A:$A,"&gt;="&amp;Z$60,'500'!$A:$A,"&lt;="&amp;Z$61,'500'!$D:$D,"&lt;"&amp;0)+sumifs('300'!$D:$D,'300'!$B:$B,$D88,'300'!$A:$A,"&gt;="&amp;Z$60,'300'!$A:$A,"&lt;="&amp;Z$61,'300'!$D:$D,"&lt;"&amp;0)+sumifs('600.VPA'!$D:$D,'600.VPA'!$B:$B,$D88,'600.VPA'!$A:$A,"&gt;="&amp;Z$60,'600.VPA'!$A:$A,"&lt;="&amp;Z$61,'600.VPA'!$D:$D,"&lt;"&amp;0)</f>
        <v>0</v>
      </c>
      <c r="AA88" s="168">
        <f>sumifs(Boss!$D:$D,Boss!$B:$B,$D88,Boss!$A:$A,"&gt;="&amp;AA$60,Boss!$A:$A,"&lt;="&amp;AA$61,Boss!$D:$D,"&gt;"&amp;0)+sumifs(VPA.Director!$D:$D,VPA.Director!$B:$B,$D88,VPA.Director!$A:$A,"&gt;="&amp;AA$60,VPA.Director!$A:$A,"&lt;="&amp;AA$61,VPA.Director!$D:$D,"&gt;"&amp;0)+sumifs(ADC.Director!$D:$D,ADC.Director!$B:$B,$D88,ADC.Director!$A:$A,"&gt;="&amp;AA$60,ADC.Director!$A:$A,"&lt;="&amp;AA$61,ADC.Director!$D:$D,"&gt;"&amp;0)+sumifs('000'!$D:$D,'000'!$B:$B,$D88,'000'!$A:$A,"&gt;="&amp;AA$60,'000'!$A:$A,"&lt;="&amp;AA$61,'000'!$D:$D,"&gt;"&amp;0)+sumifs('500'!$D:$D,'500'!$B:$B,$D88,'500'!$A:$A,"&gt;="&amp;AA$60,'500'!$A:$A,"&lt;="&amp;AA$60,'500'!$D:$D,"&gt;"&amp;0)+sumifs('300'!$D:$D,'300'!$B:$B,$D88,'300'!$A:$A,"&gt;="&amp;AA$60,'300'!$A:$A,"&lt;="&amp;AA$61,'300'!$D:$D,"&gt;"&amp;0)+sumifs('600.VPA'!$D:$D,'600.VPA'!$B:$B,$D88,'600.VPA'!$A:$A,"&gt;="&amp;AA$60,'600.VPA'!$A:$A,"&lt;="&amp;AA$61,'600.VPA'!$D:$D,"&gt;"&amp;0)</f>
        <v>0</v>
      </c>
      <c r="AB88" s="167">
        <f>sumifs(Boss!$D:$D,Boss!$B:$B,$D88,Boss!$A:$A,"&gt;="&amp;AB$60,Boss!$A:$A,"&lt;="&amp;AB$61,Boss!$D:$D,"&lt;"&amp;0)+sumifs(VPA.Director!$D:$D,VPA.Director!$B:$B,$D88,VPA.Director!$A:$A,"&gt;="&amp;AB$60,VPA.Director!$A:$A,"&lt;="&amp;AB$61,VPA.Director!$D:$D,"&lt;"&amp;0)+sumifs(ADC.Director!$D:$D,ADC.Director!$B:$B,$D88,ADC.Director!$A:$A,"&gt;="&amp;AB$60,ADC.Director!$A:$A,"&lt;="&amp;AB$61,ADC.Director!$D:$D,"&lt;"&amp;0)+sumifs('000'!$D:$D,'000'!$B:$B,$D88,'000'!$A:$A,"&gt;="&amp;AB$60,'000'!$A:$A,"&lt;="&amp;AB$61,'000'!$D:$D,"&lt;"&amp;0)+sumifs('500'!$D:$D,'500'!$B:$B,$D88,'500'!$A:$A,"&gt;="&amp;AB$60,'500'!$A:$A,"&lt;="&amp;AB$61,'500'!$D:$D,"&lt;"&amp;0)+sumifs('300'!$D:$D,'300'!$B:$B,$D88,'300'!$A:$A,"&gt;="&amp;AB$60,'300'!$A:$A,"&lt;="&amp;AB$61,'300'!$D:$D,"&lt;"&amp;0)+sumifs('600.VPA'!$D:$D,'600.VPA'!$B:$B,$D88,'600.VPA'!$A:$A,"&gt;="&amp;AB$60,'600.VPA'!$A:$A,"&lt;="&amp;AB$61,'600.VPA'!$D:$D,"&lt;"&amp;0)</f>
        <v>0</v>
      </c>
      <c r="AC88" s="168">
        <f>sumifs(Boss!$D:$D,Boss!$B:$B,$D88,Boss!$A:$A,"&gt;="&amp;AC$60,Boss!$A:$A,"&lt;="&amp;AC$61,Boss!$D:$D,"&gt;"&amp;0)+sumifs(VPA.Director!$D:$D,VPA.Director!$B:$B,$D88,VPA.Director!$A:$A,"&gt;="&amp;AC$60,VPA.Director!$A:$A,"&lt;="&amp;AC$61,VPA.Director!$D:$D,"&gt;"&amp;0)+sumifs(ADC.Director!$D:$D,ADC.Director!$B:$B,$D88,ADC.Director!$A:$A,"&gt;="&amp;AC$60,ADC.Director!$A:$A,"&lt;="&amp;AC$61,ADC.Director!$D:$D,"&gt;"&amp;0)+sumifs('000'!$D:$D,'000'!$B:$B,$D88,'000'!$A:$A,"&gt;="&amp;AC$60,'000'!$A:$A,"&lt;="&amp;AC$61,'000'!$D:$D,"&gt;"&amp;0)+sumifs('500'!$D:$D,'500'!$B:$B,$D88,'500'!$A:$A,"&gt;="&amp;AC$60,'500'!$A:$A,"&lt;="&amp;AC$60,'500'!$D:$D,"&gt;"&amp;0)+sumifs('300'!$D:$D,'300'!$B:$B,$D88,'300'!$A:$A,"&gt;="&amp;AC$60,'300'!$A:$A,"&lt;="&amp;AC$61,'300'!$D:$D,"&gt;"&amp;0)+sumifs('600.VPA'!$D:$D,'600.VPA'!$B:$B,$D88,'600.VPA'!$A:$A,"&gt;="&amp;AC$60,'600.VPA'!$A:$A,"&lt;="&amp;AC$61,'600.VPA'!$D:$D,"&gt;"&amp;0)</f>
        <v>0</v>
      </c>
      <c r="AD88" s="167">
        <f>sumifs(Boss!$D:$D,Boss!$B:$B,$D88,Boss!$A:$A,"&gt;="&amp;AD$60,Boss!$A:$A,"&lt;="&amp;AD$61,Boss!$D:$D,"&lt;"&amp;0)+sumifs(VPA.Director!$D:$D,VPA.Director!$B:$B,$D88,VPA.Director!$A:$A,"&gt;="&amp;AD$60,VPA.Director!$A:$A,"&lt;="&amp;AD$61,VPA.Director!$D:$D,"&lt;"&amp;0)+sumifs(ADC.Director!$D:$D,ADC.Director!$B:$B,$D88,ADC.Director!$A:$A,"&gt;="&amp;AD$60,ADC.Director!$A:$A,"&lt;="&amp;AD$61,ADC.Director!$D:$D,"&lt;"&amp;0)+sumifs('000'!$D:$D,'000'!$B:$B,$D88,'000'!$A:$A,"&gt;="&amp;AD$60,'000'!$A:$A,"&lt;="&amp;AD$61,'000'!$D:$D,"&lt;"&amp;0)+sumifs('500'!$D:$D,'500'!$B:$B,$D88,'500'!$A:$A,"&gt;="&amp;AD$60,'500'!$A:$A,"&lt;="&amp;AD$61,'500'!$D:$D,"&lt;"&amp;0)+sumifs('300'!$D:$D,'300'!$B:$B,$D88,'300'!$A:$A,"&gt;="&amp;AD$60,'300'!$A:$A,"&lt;="&amp;AD$61,'300'!$D:$D,"&lt;"&amp;0)+sumifs('600.VPA'!$D:$D,'600.VPA'!$B:$B,$D88,'600.VPA'!$A:$A,"&gt;="&amp;AD$60,'600.VPA'!$A:$A,"&lt;="&amp;AD$61,'600.VPA'!$D:$D,"&lt;"&amp;0)</f>
        <v>0</v>
      </c>
      <c r="AE88" s="168">
        <f>sumifs(Boss!$D:$D,Boss!$B:$B,$D88,Boss!$A:$A,"&gt;="&amp;AE$60,Boss!$A:$A,"&lt;="&amp;AE$61,Boss!$D:$D,"&gt;"&amp;0)+sumifs(VPA.Director!$D:$D,VPA.Director!$B:$B,$D88,VPA.Director!$A:$A,"&gt;="&amp;AE$60,VPA.Director!$A:$A,"&lt;="&amp;AE$61,VPA.Director!$D:$D,"&gt;"&amp;0)+sumifs(ADC.Director!$D:$D,ADC.Director!$B:$B,$D88,ADC.Director!$A:$A,"&gt;="&amp;AE$60,ADC.Director!$A:$A,"&lt;="&amp;AE$61,ADC.Director!$D:$D,"&gt;"&amp;0)+sumifs('000'!$D:$D,'000'!$B:$B,$D88,'000'!$A:$A,"&gt;="&amp;AE$60,'000'!$A:$A,"&lt;="&amp;AE$61,'000'!$D:$D,"&gt;"&amp;0)+sumifs('500'!$D:$D,'500'!$B:$B,$D88,'500'!$A:$A,"&gt;="&amp;AE$60,'500'!$A:$A,"&lt;="&amp;AE$60,'500'!$D:$D,"&gt;"&amp;0)+sumifs('300'!$D:$D,'300'!$B:$B,$D88,'300'!$A:$A,"&gt;="&amp;AE$60,'300'!$A:$A,"&lt;="&amp;AE$61,'300'!$D:$D,"&gt;"&amp;0)+sumifs('600.VPA'!$D:$D,'600.VPA'!$B:$B,$D88,'600.VPA'!$A:$A,"&gt;="&amp;AE$60,'600.VPA'!$A:$A,"&lt;="&amp;AE$61,'600.VPA'!$D:$D,"&gt;"&amp;0)</f>
        <v>0</v>
      </c>
      <c r="AF88" s="167">
        <f>sumifs(Boss!$D:$D,Boss!$B:$B,$D88,Boss!$A:$A,"&gt;="&amp;AF$60,Boss!$A:$A,"&lt;="&amp;AF$61,Boss!$D:$D,"&lt;"&amp;0)+sumifs(VPA.Director!$D:$D,VPA.Director!$B:$B,$D88,VPA.Director!$A:$A,"&gt;="&amp;AF$60,VPA.Director!$A:$A,"&lt;="&amp;AF$61,VPA.Director!$D:$D,"&lt;"&amp;0)+sumifs(ADC.Director!$D:$D,ADC.Director!$B:$B,$D88,ADC.Director!$A:$A,"&gt;="&amp;AF$60,ADC.Director!$A:$A,"&lt;="&amp;AF$61,ADC.Director!$D:$D,"&lt;"&amp;0)+sumifs('000'!$D:$D,'000'!$B:$B,$D88,'000'!$A:$A,"&gt;="&amp;AF$60,'000'!$A:$A,"&lt;="&amp;AF$61,'000'!$D:$D,"&lt;"&amp;0)+sumifs('500'!$D:$D,'500'!$B:$B,$D88,'500'!$A:$A,"&gt;="&amp;AF$60,'500'!$A:$A,"&lt;="&amp;AF$61,'500'!$D:$D,"&lt;"&amp;0)+sumifs('300'!$D:$D,'300'!$B:$B,$D88,'300'!$A:$A,"&gt;="&amp;AF$60,'300'!$A:$A,"&lt;="&amp;AF$61,'300'!$D:$D,"&lt;"&amp;0)+sumifs('600.VPA'!$D:$D,'600.VPA'!$B:$B,$D88,'600.VPA'!$A:$A,"&gt;="&amp;AF$60,'600.VPA'!$A:$A,"&lt;="&amp;AF$61,'600.VPA'!$D:$D,"&lt;"&amp;0)</f>
        <v>0</v>
      </c>
      <c r="AG88" s="168">
        <f>sumifs(Boss!$D:$D,Boss!$B:$B,$D88,Boss!$A:$A,"&gt;="&amp;AG$60,Boss!$A:$A,"&lt;="&amp;AG$61,Boss!$D:$D,"&gt;"&amp;0)+sumifs(VPA.Director!$D:$D,VPA.Director!$B:$B,$D88,VPA.Director!$A:$A,"&gt;="&amp;AG$60,VPA.Director!$A:$A,"&lt;="&amp;AG$61,VPA.Director!$D:$D,"&gt;"&amp;0)+sumifs(ADC.Director!$D:$D,ADC.Director!$B:$B,$D88,ADC.Director!$A:$A,"&gt;="&amp;AG$60,ADC.Director!$A:$A,"&lt;="&amp;AG$61,ADC.Director!$D:$D,"&gt;"&amp;0)+sumifs('000'!$D:$D,'000'!$B:$B,$D88,'000'!$A:$A,"&gt;="&amp;AG$60,'000'!$A:$A,"&lt;="&amp;AG$61,'000'!$D:$D,"&gt;"&amp;0)+sumifs('500'!$D:$D,'500'!$B:$B,$D88,'500'!$A:$A,"&gt;="&amp;AG$60,'500'!$A:$A,"&lt;="&amp;AG$60,'500'!$D:$D,"&gt;"&amp;0)+sumifs('300'!$D:$D,'300'!$B:$B,$D88,'300'!$A:$A,"&gt;="&amp;AG$60,'300'!$A:$A,"&lt;="&amp;AG$61,'300'!$D:$D,"&gt;"&amp;0)+sumifs('600.VPA'!$D:$D,'600.VPA'!$B:$B,$D88,'600.VPA'!$A:$A,"&gt;="&amp;AG$60,'600.VPA'!$A:$A,"&lt;="&amp;AG$61,'600.VPA'!$D:$D,"&gt;"&amp;0)</f>
        <v>0</v>
      </c>
      <c r="AH88" s="169">
        <f t="shared" ref="AH88:AI88" si="26">sum(I88,K88,M88,O88,Q88,S88,V88,X88,Z88,AB88,AD88,AF88)</f>
        <v>0</v>
      </c>
      <c r="AI88" s="170">
        <f t="shared" si="26"/>
        <v>0</v>
      </c>
      <c r="AJ88" s="169">
        <f t="shared" si="4"/>
        <v>0</v>
      </c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</row>
    <row r="89">
      <c r="A89" s="86"/>
      <c r="B89" s="163"/>
      <c r="D89" s="165" t="s">
        <v>126</v>
      </c>
      <c r="E89" s="166" t="s">
        <v>30</v>
      </c>
      <c r="F89" s="165" t="s">
        <v>165</v>
      </c>
      <c r="G89" s="165" t="s">
        <v>128</v>
      </c>
      <c r="H89" s="165" t="s">
        <v>129</v>
      </c>
      <c r="I89" s="167">
        <f>sumifs(Boss!$D:$D,Boss!$B:$B,$D89,Boss!$A:$A,"&gt;="&amp;I$60,Boss!$A:$A,"&lt;="&amp;I$61,Boss!$D:$D,"&lt;"&amp;0)+sumifs(VPA.Director!$D:$D,VPA.Director!$B:$B,$D89,VPA.Director!$A:$A,"&gt;="&amp;I$60,VPA.Director!$A:$A,"&lt;="&amp;I$61,VPA.Director!$D:$D,"&lt;"&amp;0)+sumifs(ADC.Director!$D:$D,ADC.Director!$B:$B,$D89,ADC.Director!$A:$A,"&gt;="&amp;I$60,ADC.Director!$A:$A,"&lt;="&amp;I$61,ADC.Director!$D:$D,"&lt;"&amp;0)+sumifs('000'!$D:$D,'000'!$B:$B,$D89,'000'!$A:$A,"&gt;="&amp;I$60,'000'!$A:$A,"&lt;="&amp;I$61,'000'!$D:$D,"&lt;"&amp;0)+sumifs('500'!$D:$D,'500'!$B:$B,$D89,'500'!$A:$A,"&gt;="&amp;I$60,'500'!$A:$A,"&lt;="&amp;I$61,'500'!$D:$D,"&lt;"&amp;0)+sumifs('300'!$D:$D,'300'!$B:$B,$D89,'300'!$A:$A,"&gt;="&amp;I$60,'300'!$A:$A,"&lt;="&amp;I$61,'300'!$D:$D,"&lt;"&amp;0)+sumifs('600.VPA'!$D:$D,'600.VPA'!$B:$B,$D89,'600.VPA'!$A:$A,"&gt;="&amp;I$60,'600.VPA'!$A:$A,"&lt;="&amp;I$61,'600.VPA'!$D:$D,"&lt;"&amp;0)</f>
        <v>0</v>
      </c>
      <c r="J89" s="168">
        <f>sumifs(Boss!$D:$D,Boss!$B:$B,$D89,Boss!$A:$A,"&gt;="&amp;J$60,Boss!$A:$A,"&lt;="&amp;J$61,Boss!$D:$D,"&gt;"&amp;0)+sumifs(VPA.Director!$D:$D,VPA.Director!$B:$B,$D89,VPA.Director!$A:$A,"&gt;="&amp;J$60,VPA.Director!$A:$A,"&lt;="&amp;J$61,VPA.Director!$D:$D,"&gt;"&amp;0)+sumifs(ADC.Director!$D:$D,ADC.Director!$B:$B,$D89,ADC.Director!$A:$A,"&gt;="&amp;J$60,ADC.Director!$A:$A,"&lt;="&amp;J$61,ADC.Director!$D:$D,"&gt;"&amp;0)+sumifs('000'!$D:$D,'000'!$B:$B,$D89,'000'!$A:$A,"&gt;="&amp;J$60,'000'!$A:$A,"&lt;="&amp;J$61,'000'!$D:$D,"&gt;"&amp;0)+sumifs('500'!$D:$D,'500'!$B:$B,$D89,'500'!$A:$A,"&gt;="&amp;J$60,'500'!$A:$A,"&lt;="&amp;J$60,'500'!$D:$D,"&gt;"&amp;0)+sumifs('300'!$D:$D,'300'!$B:$B,$D89,'300'!$A:$A,"&gt;="&amp;J$60,'300'!$A:$A,"&lt;="&amp;J$61,'300'!$D:$D,"&gt;"&amp;0)+sumifs('600.VPA'!$D:$D,'600.VPA'!$B:$B,$D89,'600.VPA'!$A:$A,"&gt;="&amp;J$60,'600.VPA'!$A:$A,"&lt;="&amp;J$61,'600.VPA'!$D:$D,"&gt;"&amp;0)</f>
        <v>0</v>
      </c>
      <c r="K89" s="167">
        <f>sumifs(Boss!$D:$D,Boss!$B:$B,$D89,Boss!$A:$A,"&gt;="&amp;K$60,Boss!$A:$A,"&lt;="&amp;K$61,Boss!$D:$D,"&lt;"&amp;0)+sumifs(VPA.Director!$D:$D,VPA.Director!$B:$B,$D89,VPA.Director!$A:$A,"&gt;="&amp;K$60,VPA.Director!$A:$A,"&lt;="&amp;K$61,VPA.Director!$D:$D,"&lt;"&amp;0)+sumifs(ADC.Director!$D:$D,ADC.Director!$B:$B,$D89,ADC.Director!$A:$A,"&gt;="&amp;K$60,ADC.Director!$A:$A,"&lt;="&amp;K$61,ADC.Director!$D:$D,"&lt;"&amp;0)+sumifs('000'!$D:$D,'000'!$B:$B,$D89,'000'!$A:$A,"&gt;="&amp;K$60,'000'!$A:$A,"&lt;="&amp;K$61,'000'!$D:$D,"&lt;"&amp;0)+sumifs('500'!$D:$D,'500'!$B:$B,$D89,'500'!$A:$A,"&gt;="&amp;K$60,'500'!$A:$A,"&lt;="&amp;K$61,'500'!$D:$D,"&lt;"&amp;0)+sumifs('300'!$D:$D,'300'!$B:$B,$D89,'300'!$A:$A,"&gt;="&amp;K$60,'300'!$A:$A,"&lt;="&amp;K$61,'300'!$D:$D,"&lt;"&amp;0)+sumifs('600.VPA'!$D:$D,'600.VPA'!$B:$B,$D89,'600.VPA'!$A:$A,"&gt;="&amp;K$60,'600.VPA'!$A:$A,"&lt;="&amp;K$61,'600.VPA'!$D:$D,"&lt;"&amp;0)</f>
        <v>0</v>
      </c>
      <c r="L89" s="168">
        <f>sumifs(Boss!$D:$D,Boss!$B:$B,$D89,Boss!$A:$A,"&gt;="&amp;L$60,Boss!$A:$A,"&lt;="&amp;L$61,Boss!$D:$D,"&gt;"&amp;0)+sumifs(VPA.Director!$D:$D,VPA.Director!$B:$B,$D89,VPA.Director!$A:$A,"&gt;="&amp;L$60,VPA.Director!$A:$A,"&lt;="&amp;L$61,VPA.Director!$D:$D,"&gt;"&amp;0)+sumifs(ADC.Director!$D:$D,ADC.Director!$B:$B,$D89,ADC.Director!$A:$A,"&gt;="&amp;L$60,ADC.Director!$A:$A,"&lt;="&amp;L$61,ADC.Director!$D:$D,"&gt;"&amp;0)+sumifs('000'!$D:$D,'000'!$B:$B,$D89,'000'!$A:$A,"&gt;="&amp;L$60,'000'!$A:$A,"&lt;="&amp;L$61,'000'!$D:$D,"&gt;"&amp;0)+sumifs('500'!$D:$D,'500'!$B:$B,$D89,'500'!$A:$A,"&gt;="&amp;L$60,'500'!$A:$A,"&lt;="&amp;L$60,'500'!$D:$D,"&gt;"&amp;0)+sumifs('300'!$D:$D,'300'!$B:$B,$D89,'300'!$A:$A,"&gt;="&amp;L$60,'300'!$A:$A,"&lt;="&amp;L$61,'300'!$D:$D,"&gt;"&amp;0)+sumifs('600.VPA'!$D:$D,'600.VPA'!$B:$B,$D89,'600.VPA'!$A:$A,"&gt;="&amp;L$60,'600.VPA'!$A:$A,"&lt;="&amp;L$61,'600.VPA'!$D:$D,"&gt;"&amp;0)</f>
        <v>0</v>
      </c>
      <c r="M89" s="167">
        <f>sumifs(Boss!$D:$D,Boss!$B:$B,$D89,Boss!$A:$A,"&gt;="&amp;M$60,Boss!$A:$A,"&lt;="&amp;M$61,Boss!$D:$D,"&lt;"&amp;0)+sumifs(VPA.Director!$D:$D,VPA.Director!$B:$B,$D89,VPA.Director!$A:$A,"&gt;="&amp;M$60,VPA.Director!$A:$A,"&lt;="&amp;M$61,VPA.Director!$D:$D,"&lt;"&amp;0)+sumifs(ADC.Director!$D:$D,ADC.Director!$B:$B,$D89,ADC.Director!$A:$A,"&gt;="&amp;M$60,ADC.Director!$A:$A,"&lt;="&amp;M$61,ADC.Director!$D:$D,"&lt;"&amp;0)+sumifs('000'!$D:$D,'000'!$B:$B,$D89,'000'!$A:$A,"&gt;="&amp;M$60,'000'!$A:$A,"&lt;="&amp;M$61,'000'!$D:$D,"&lt;"&amp;0)+sumifs('500'!$D:$D,'500'!$B:$B,$D89,'500'!$A:$A,"&gt;="&amp;M$60,'500'!$A:$A,"&lt;="&amp;M$61,'500'!$D:$D,"&lt;"&amp;0)+sumifs('300'!$D:$D,'300'!$B:$B,$D89,'300'!$A:$A,"&gt;="&amp;M$60,'300'!$A:$A,"&lt;="&amp;M$61,'300'!$D:$D,"&lt;"&amp;0)+sumifs('600.VPA'!$D:$D,'600.VPA'!$B:$B,$D89,'600.VPA'!$A:$A,"&gt;="&amp;M$60,'600.VPA'!$A:$A,"&lt;="&amp;M$61,'600.VPA'!$D:$D,"&lt;"&amp;0)</f>
        <v>0</v>
      </c>
      <c r="N89" s="168">
        <f>sumifs(Boss!$D:$D,Boss!$B:$B,$D89,Boss!$A:$A,"&gt;="&amp;N$60,Boss!$A:$A,"&lt;="&amp;N$61,Boss!$D:$D,"&gt;"&amp;0)+sumifs(VPA.Director!$D:$D,VPA.Director!$B:$B,$D89,VPA.Director!$A:$A,"&gt;="&amp;N$60,VPA.Director!$A:$A,"&lt;="&amp;N$61,VPA.Director!$D:$D,"&gt;"&amp;0)+sumifs(ADC.Director!$D:$D,ADC.Director!$B:$B,$D89,ADC.Director!$A:$A,"&gt;="&amp;N$60,ADC.Director!$A:$A,"&lt;="&amp;N$61,ADC.Director!$D:$D,"&gt;"&amp;0)+sumifs('000'!$D:$D,'000'!$B:$B,$D89,'000'!$A:$A,"&gt;="&amp;N$60,'000'!$A:$A,"&lt;="&amp;N$61,'000'!$D:$D,"&gt;"&amp;0)+sumifs('500'!$D:$D,'500'!$B:$B,$D89,'500'!$A:$A,"&gt;="&amp;N$60,'500'!$A:$A,"&lt;="&amp;N$60,'500'!$D:$D,"&gt;"&amp;0)+sumifs('300'!$D:$D,'300'!$B:$B,$D89,'300'!$A:$A,"&gt;="&amp;N$60,'300'!$A:$A,"&lt;="&amp;N$61,'300'!$D:$D,"&gt;"&amp;0)+sumifs('600.VPA'!$D:$D,'600.VPA'!$B:$B,$D89,'600.VPA'!$A:$A,"&gt;="&amp;N$60,'600.VPA'!$A:$A,"&lt;="&amp;N$61,'600.VPA'!$D:$D,"&gt;"&amp;0)</f>
        <v>0</v>
      </c>
      <c r="O89" s="167">
        <f>sumifs(Boss!$D:$D,Boss!$B:$B,$D89,Boss!$A:$A,"&gt;="&amp;O$60,Boss!$A:$A,"&lt;="&amp;O$61,Boss!$D:$D,"&lt;"&amp;0)+sumifs(VPA.Director!$D:$D,VPA.Director!$B:$B,$D89,VPA.Director!$A:$A,"&gt;="&amp;O$60,VPA.Director!$A:$A,"&lt;="&amp;O$61,VPA.Director!$D:$D,"&lt;"&amp;0)+sumifs(ADC.Director!$D:$D,ADC.Director!$B:$B,$D89,ADC.Director!$A:$A,"&gt;="&amp;O$60,ADC.Director!$A:$A,"&lt;="&amp;O$61,ADC.Director!$D:$D,"&lt;"&amp;0)+sumifs('000'!$D:$D,'000'!$B:$B,$D89,'000'!$A:$A,"&gt;="&amp;O$60,'000'!$A:$A,"&lt;="&amp;O$61,'000'!$D:$D,"&lt;"&amp;0)+sumifs('500'!$D:$D,'500'!$B:$B,$D89,'500'!$A:$A,"&gt;="&amp;O$60,'500'!$A:$A,"&lt;="&amp;O$61,'500'!$D:$D,"&lt;"&amp;0)+sumifs('300'!$D:$D,'300'!$B:$B,$D89,'300'!$A:$A,"&gt;="&amp;O$60,'300'!$A:$A,"&lt;="&amp;O$61,'300'!$D:$D,"&lt;"&amp;0)+sumifs('600.VPA'!$D:$D,'600.VPA'!$B:$B,$D89,'600.VPA'!$A:$A,"&gt;="&amp;O$60,'600.VPA'!$A:$A,"&lt;="&amp;O$61,'600.VPA'!$D:$D,"&lt;"&amp;0)</f>
        <v>0</v>
      </c>
      <c r="P89" s="168">
        <f>sumifs(Boss!$D:$D,Boss!$B:$B,$D89,Boss!$A:$A,"&gt;="&amp;P$60,Boss!$A:$A,"&lt;="&amp;P$61,Boss!$D:$D,"&gt;"&amp;0)+sumifs(VPA.Director!$D:$D,VPA.Director!$B:$B,$D89,VPA.Director!$A:$A,"&gt;="&amp;P$60,VPA.Director!$A:$A,"&lt;="&amp;P$61,VPA.Director!$D:$D,"&gt;"&amp;0)+sumifs(ADC.Director!$D:$D,ADC.Director!$B:$B,$D89,ADC.Director!$A:$A,"&gt;="&amp;P$60,ADC.Director!$A:$A,"&lt;="&amp;P$61,ADC.Director!$D:$D,"&gt;"&amp;0)+sumifs('000'!$D:$D,'000'!$B:$B,$D89,'000'!$A:$A,"&gt;="&amp;P$60,'000'!$A:$A,"&lt;="&amp;P$61,'000'!$D:$D,"&gt;"&amp;0)+sumifs('500'!$D:$D,'500'!$B:$B,$D89,'500'!$A:$A,"&gt;="&amp;P$60,'500'!$A:$A,"&lt;="&amp;P$60,'500'!$D:$D,"&gt;"&amp;0)+sumifs('300'!$D:$D,'300'!$B:$B,$D89,'300'!$A:$A,"&gt;="&amp;P$60,'300'!$A:$A,"&lt;="&amp;P$61,'300'!$D:$D,"&gt;"&amp;0)+sumifs('600.VPA'!$D:$D,'600.VPA'!$B:$B,$D89,'600.VPA'!$A:$A,"&gt;="&amp;P$60,'600.VPA'!$A:$A,"&lt;="&amp;P$61,'600.VPA'!$D:$D,"&gt;"&amp;0)</f>
        <v>0</v>
      </c>
      <c r="Q89" s="167">
        <f>sumifs(Boss!$D:$D,Boss!$B:$B,$D89,Boss!$A:$A,"&gt;="&amp;Q$60,Boss!$A:$A,"&lt;="&amp;Q$61,Boss!$D:$D,"&lt;"&amp;0)+sumifs(VPA.Director!$D:$D,VPA.Director!$B:$B,$D89,VPA.Director!$A:$A,"&gt;="&amp;Q$60,VPA.Director!$A:$A,"&lt;="&amp;Q$61,VPA.Director!$D:$D,"&lt;"&amp;0)+sumifs(ADC.Director!$D:$D,ADC.Director!$B:$B,$D89,ADC.Director!$A:$A,"&gt;="&amp;Q$60,ADC.Director!$A:$A,"&lt;="&amp;Q$61,ADC.Director!$D:$D,"&lt;"&amp;0)+sumifs('000'!$D:$D,'000'!$B:$B,$D89,'000'!$A:$A,"&gt;="&amp;Q$60,'000'!$A:$A,"&lt;="&amp;Q$61,'000'!$D:$D,"&lt;"&amp;0)+sumifs('500'!$D:$D,'500'!$B:$B,$D89,'500'!$A:$A,"&gt;="&amp;Q$60,'500'!$A:$A,"&lt;="&amp;Q$61,'500'!$D:$D,"&lt;"&amp;0)+sumifs('300'!$D:$D,'300'!$B:$B,$D89,'300'!$A:$A,"&gt;="&amp;Q$60,'300'!$A:$A,"&lt;="&amp;Q$61,'300'!$D:$D,"&lt;"&amp;0)+sumifs('600.VPA'!$D:$D,'600.VPA'!$B:$B,$D89,'600.VPA'!$A:$A,"&gt;="&amp;Q$60,'600.VPA'!$A:$A,"&lt;="&amp;Q$61,'600.VPA'!$D:$D,"&lt;"&amp;0)</f>
        <v>0</v>
      </c>
      <c r="R89" s="168">
        <f>sumifs(Boss!$D:$D,Boss!$B:$B,$D89,Boss!$A:$A,"&gt;="&amp;R$60,Boss!$A:$A,"&lt;="&amp;R$61,Boss!$D:$D,"&gt;"&amp;0)+sumifs(VPA.Director!$D:$D,VPA.Director!$B:$B,$D89,VPA.Director!$A:$A,"&gt;="&amp;R$60,VPA.Director!$A:$A,"&lt;="&amp;R$61,VPA.Director!$D:$D,"&gt;"&amp;0)+sumifs(ADC.Director!$D:$D,ADC.Director!$B:$B,$D89,ADC.Director!$A:$A,"&gt;="&amp;R$60,ADC.Director!$A:$A,"&lt;="&amp;R$61,ADC.Director!$D:$D,"&gt;"&amp;0)+sumifs('000'!$D:$D,'000'!$B:$B,$D89,'000'!$A:$A,"&gt;="&amp;R$60,'000'!$A:$A,"&lt;="&amp;R$61,'000'!$D:$D,"&gt;"&amp;0)+sumifs('500'!$D:$D,'500'!$B:$B,$D89,'500'!$A:$A,"&gt;="&amp;R$60,'500'!$A:$A,"&lt;="&amp;R$60,'500'!$D:$D,"&gt;"&amp;0)+sumifs('300'!$D:$D,'300'!$B:$B,$D89,'300'!$A:$A,"&gt;="&amp;R$60,'300'!$A:$A,"&lt;="&amp;R$61,'300'!$D:$D,"&gt;"&amp;0)+sumifs('600.VPA'!$D:$D,'600.VPA'!$B:$B,$D89,'600.VPA'!$A:$A,"&gt;="&amp;R$60,'600.VPA'!$A:$A,"&lt;="&amp;R$61,'600.VPA'!$D:$D,"&gt;"&amp;0)</f>
        <v>0</v>
      </c>
      <c r="S89" s="167">
        <f>sumifs(Boss!$D:$D,Boss!$B:$B,$D89,Boss!$A:$A,"&gt;="&amp;S$60,Boss!$A:$A,"&lt;="&amp;S$61,Boss!$D:$D,"&lt;"&amp;0)+sumifs(VPA.Director!$D:$D,VPA.Director!$B:$B,$D89,VPA.Director!$A:$A,"&gt;="&amp;S$60,VPA.Director!$A:$A,"&lt;="&amp;S$61,VPA.Director!$D:$D,"&lt;"&amp;0)+sumifs(ADC.Director!$D:$D,ADC.Director!$B:$B,$D89,ADC.Director!$A:$A,"&gt;="&amp;S$60,ADC.Director!$A:$A,"&lt;="&amp;S$61,ADC.Director!$D:$D,"&lt;"&amp;0)+sumifs('000'!$D:$D,'000'!$B:$B,$D89,'000'!$A:$A,"&gt;="&amp;S$60,'000'!$A:$A,"&lt;="&amp;S$61,'000'!$D:$D,"&lt;"&amp;0)+sumifs('500'!$D:$D,'500'!$B:$B,$D89,'500'!$A:$A,"&gt;="&amp;S$60,'500'!$A:$A,"&lt;="&amp;S$61,'500'!$D:$D,"&lt;"&amp;0)+sumifs('300'!$D:$D,'300'!$B:$B,$D89,'300'!$A:$A,"&gt;="&amp;S$60,'300'!$A:$A,"&lt;="&amp;S$61,'300'!$D:$D,"&lt;"&amp;0)+sumifs('600.VPA'!$D:$D,'600.VPA'!$B:$B,$D89,'600.VPA'!$A:$A,"&gt;="&amp;S$60,'600.VPA'!$A:$A,"&lt;="&amp;S$61,'600.VPA'!$D:$D,"&lt;"&amp;0)</f>
        <v>0</v>
      </c>
      <c r="T89" s="168">
        <f>sumifs(Boss!$D:$D,Boss!$B:$B,$D89,Boss!$A:$A,"&gt;="&amp;T$60,Boss!$A:$A,"&lt;="&amp;T$61,Boss!$D:$D,"&gt;"&amp;0)+sumifs(VPA.Director!$D:$D,VPA.Director!$B:$B,$D89,VPA.Director!$A:$A,"&gt;="&amp;T$60,VPA.Director!$A:$A,"&lt;="&amp;T$61,VPA.Director!$D:$D,"&gt;"&amp;0)+sumifs(ADC.Director!$D:$D,ADC.Director!$B:$B,$D89,ADC.Director!$A:$A,"&gt;="&amp;T$60,ADC.Director!$A:$A,"&lt;="&amp;T$61,ADC.Director!$D:$D,"&gt;"&amp;0)+sumifs('000'!$D:$D,'000'!$B:$B,$D89,'000'!$A:$A,"&gt;="&amp;T$60,'000'!$A:$A,"&lt;="&amp;T$61,'000'!$D:$D,"&gt;"&amp;0)+sumifs('500'!$D:$D,'500'!$B:$B,$D89,'500'!$A:$A,"&gt;="&amp;T$60,'500'!$A:$A,"&lt;="&amp;T$60,'500'!$D:$D,"&gt;"&amp;0)+sumifs('300'!$D:$D,'300'!$B:$B,$D89,'300'!$A:$A,"&gt;="&amp;T$60,'300'!$A:$A,"&lt;="&amp;T$61,'300'!$D:$D,"&gt;"&amp;0)+sumifs('600.VPA'!$D:$D,'600.VPA'!$B:$B,$D89,'600.VPA'!$A:$A,"&gt;="&amp;T$60,'600.VPA'!$A:$A,"&lt;="&amp;T$61,'600.VPA'!$D:$D,"&gt;"&amp;0)</f>
        <v>0</v>
      </c>
      <c r="U89" s="163"/>
      <c r="V89" s="167">
        <f>sumifs(Boss!$D:$D,Boss!$B:$B,$D89,Boss!$A:$A,"&gt;="&amp;V$60,Boss!$A:$A,"&lt;="&amp;V$61,Boss!$D:$D,"&lt;"&amp;0)+sumifs(VPA.Director!$D:$D,VPA.Director!$B:$B,$D89,VPA.Director!$A:$A,"&gt;="&amp;V$60,VPA.Director!$A:$A,"&lt;="&amp;V$61,VPA.Director!$D:$D,"&lt;"&amp;0)+sumifs(ADC.Director!$D:$D,ADC.Director!$B:$B,$D89,ADC.Director!$A:$A,"&gt;="&amp;V$60,ADC.Director!$A:$A,"&lt;="&amp;V$61,ADC.Director!$D:$D,"&lt;"&amp;0)+sumifs('000'!$D:$D,'000'!$B:$B,$D89,'000'!$A:$A,"&gt;="&amp;V$60,'000'!$A:$A,"&lt;="&amp;V$61,'000'!$D:$D,"&lt;"&amp;0)+sumifs('500'!$D:$D,'500'!$B:$B,$D89,'500'!$A:$A,"&gt;="&amp;V$60,'500'!$A:$A,"&lt;="&amp;V$61,'500'!$D:$D,"&lt;"&amp;0)+sumifs('300'!$D:$D,'300'!$B:$B,$D89,'300'!$A:$A,"&gt;="&amp;V$60,'300'!$A:$A,"&lt;="&amp;V$61,'300'!$D:$D,"&lt;"&amp;0)+sumifs('600.VPA'!$D:$D,'600.VPA'!$B:$B,$D89,'600.VPA'!$A:$A,"&gt;="&amp;V$60,'600.VPA'!$A:$A,"&lt;="&amp;V$61,'600.VPA'!$D:$D,"&lt;"&amp;0)</f>
        <v>0</v>
      </c>
      <c r="W89" s="168">
        <f>sumifs(Boss!$D:$D,Boss!$B:$B,$D89,Boss!$A:$A,"&gt;="&amp;W$60,Boss!$A:$A,"&lt;="&amp;W$61,Boss!$D:$D,"&gt;"&amp;0)+sumifs(VPA.Director!$D:$D,VPA.Director!$B:$B,$D89,VPA.Director!$A:$A,"&gt;="&amp;W$60,VPA.Director!$A:$A,"&lt;="&amp;W$61,VPA.Director!$D:$D,"&gt;"&amp;0)+sumifs(ADC.Director!$D:$D,ADC.Director!$B:$B,$D89,ADC.Director!$A:$A,"&gt;="&amp;W$60,ADC.Director!$A:$A,"&lt;="&amp;W$61,ADC.Director!$D:$D,"&gt;"&amp;0)+sumifs('000'!$D:$D,'000'!$B:$B,$D89,'000'!$A:$A,"&gt;="&amp;W$60,'000'!$A:$A,"&lt;="&amp;W$61,'000'!$D:$D,"&gt;"&amp;0)+sumifs('500'!$D:$D,'500'!$B:$B,$D89,'500'!$A:$A,"&gt;="&amp;W$60,'500'!$A:$A,"&lt;="&amp;W$60,'500'!$D:$D,"&gt;"&amp;0)+sumifs('300'!$D:$D,'300'!$B:$B,$D89,'300'!$A:$A,"&gt;="&amp;W$60,'300'!$A:$A,"&lt;="&amp;W$61,'300'!$D:$D,"&gt;"&amp;0)+sumifs('600.VPA'!$D:$D,'600.VPA'!$B:$B,$D89,'600.VPA'!$A:$A,"&gt;="&amp;W$60,'600.VPA'!$A:$A,"&lt;="&amp;W$61,'600.VPA'!$D:$D,"&gt;"&amp;0)</f>
        <v>0</v>
      </c>
      <c r="X89" s="167">
        <f>sumifs(Boss!$D:$D,Boss!$B:$B,$D89,Boss!$A:$A,"&gt;="&amp;X$60,Boss!$A:$A,"&lt;="&amp;X$61,Boss!$D:$D,"&lt;"&amp;0)+sumifs(VPA.Director!$D:$D,VPA.Director!$B:$B,$D89,VPA.Director!$A:$A,"&gt;="&amp;X$60,VPA.Director!$A:$A,"&lt;="&amp;X$61,VPA.Director!$D:$D,"&lt;"&amp;0)+sumifs(ADC.Director!$D:$D,ADC.Director!$B:$B,$D89,ADC.Director!$A:$A,"&gt;="&amp;X$60,ADC.Director!$A:$A,"&lt;="&amp;X$61,ADC.Director!$D:$D,"&lt;"&amp;0)+sumifs('000'!$D:$D,'000'!$B:$B,$D89,'000'!$A:$A,"&gt;="&amp;X$60,'000'!$A:$A,"&lt;="&amp;X$61,'000'!$D:$D,"&lt;"&amp;0)+sumifs('500'!$D:$D,'500'!$B:$B,$D89,'500'!$A:$A,"&gt;="&amp;X$60,'500'!$A:$A,"&lt;="&amp;X$61,'500'!$D:$D,"&lt;"&amp;0)+sumifs('300'!$D:$D,'300'!$B:$B,$D89,'300'!$A:$A,"&gt;="&amp;X$60,'300'!$A:$A,"&lt;="&amp;X$61,'300'!$D:$D,"&lt;"&amp;0)+sumifs('600.VPA'!$D:$D,'600.VPA'!$B:$B,$D89,'600.VPA'!$A:$A,"&gt;="&amp;X$60,'600.VPA'!$A:$A,"&lt;="&amp;X$61,'600.VPA'!$D:$D,"&lt;"&amp;0)</f>
        <v>0</v>
      </c>
      <c r="Y89" s="168">
        <f>sumifs(Boss!$D:$D,Boss!$B:$B,$D89,Boss!$A:$A,"&gt;="&amp;Y$60,Boss!$A:$A,"&lt;="&amp;Y$61,Boss!$D:$D,"&gt;"&amp;0)+sumifs(VPA.Director!$D:$D,VPA.Director!$B:$B,$D89,VPA.Director!$A:$A,"&gt;="&amp;Y$60,VPA.Director!$A:$A,"&lt;="&amp;Y$61,VPA.Director!$D:$D,"&gt;"&amp;0)+sumifs(ADC.Director!$D:$D,ADC.Director!$B:$B,$D89,ADC.Director!$A:$A,"&gt;="&amp;Y$60,ADC.Director!$A:$A,"&lt;="&amp;Y$61,ADC.Director!$D:$D,"&gt;"&amp;0)+sumifs('000'!$D:$D,'000'!$B:$B,$D89,'000'!$A:$A,"&gt;="&amp;Y$60,'000'!$A:$A,"&lt;="&amp;Y$61,'000'!$D:$D,"&gt;"&amp;0)+sumifs('500'!$D:$D,'500'!$B:$B,$D89,'500'!$A:$A,"&gt;="&amp;Y$60,'500'!$A:$A,"&lt;="&amp;Y$60,'500'!$D:$D,"&gt;"&amp;0)+sumifs('300'!$D:$D,'300'!$B:$B,$D89,'300'!$A:$A,"&gt;="&amp;Y$60,'300'!$A:$A,"&lt;="&amp;Y$61,'300'!$D:$D,"&gt;"&amp;0)+sumifs('600.VPA'!$D:$D,'600.VPA'!$B:$B,$D89,'600.VPA'!$A:$A,"&gt;="&amp;Y$60,'600.VPA'!$A:$A,"&lt;="&amp;Y$61,'600.VPA'!$D:$D,"&gt;"&amp;0)</f>
        <v>0</v>
      </c>
      <c r="Z89" s="167">
        <f>sumifs(Boss!$D:$D,Boss!$B:$B,$D89,Boss!$A:$A,"&gt;="&amp;Z$60,Boss!$A:$A,"&lt;="&amp;Z$61,Boss!$D:$D,"&lt;"&amp;0)+sumifs(VPA.Director!$D:$D,VPA.Director!$B:$B,$D89,VPA.Director!$A:$A,"&gt;="&amp;Z$60,VPA.Director!$A:$A,"&lt;="&amp;Z$61,VPA.Director!$D:$D,"&lt;"&amp;0)+sumifs(ADC.Director!$D:$D,ADC.Director!$B:$B,$D89,ADC.Director!$A:$A,"&gt;="&amp;Z$60,ADC.Director!$A:$A,"&lt;="&amp;Z$61,ADC.Director!$D:$D,"&lt;"&amp;0)+sumifs('000'!$D:$D,'000'!$B:$B,$D89,'000'!$A:$A,"&gt;="&amp;Z$60,'000'!$A:$A,"&lt;="&amp;Z$61,'000'!$D:$D,"&lt;"&amp;0)+sumifs('500'!$D:$D,'500'!$B:$B,$D89,'500'!$A:$A,"&gt;="&amp;Z$60,'500'!$A:$A,"&lt;="&amp;Z$61,'500'!$D:$D,"&lt;"&amp;0)+sumifs('300'!$D:$D,'300'!$B:$B,$D89,'300'!$A:$A,"&gt;="&amp;Z$60,'300'!$A:$A,"&lt;="&amp;Z$61,'300'!$D:$D,"&lt;"&amp;0)+sumifs('600.VPA'!$D:$D,'600.VPA'!$B:$B,$D89,'600.VPA'!$A:$A,"&gt;="&amp;Z$60,'600.VPA'!$A:$A,"&lt;="&amp;Z$61,'600.VPA'!$D:$D,"&lt;"&amp;0)</f>
        <v>0</v>
      </c>
      <c r="AA89" s="168">
        <f>sumifs(Boss!$D:$D,Boss!$B:$B,$D89,Boss!$A:$A,"&gt;="&amp;AA$60,Boss!$A:$A,"&lt;="&amp;AA$61,Boss!$D:$D,"&gt;"&amp;0)+sumifs(VPA.Director!$D:$D,VPA.Director!$B:$B,$D89,VPA.Director!$A:$A,"&gt;="&amp;AA$60,VPA.Director!$A:$A,"&lt;="&amp;AA$61,VPA.Director!$D:$D,"&gt;"&amp;0)+sumifs(ADC.Director!$D:$D,ADC.Director!$B:$B,$D89,ADC.Director!$A:$A,"&gt;="&amp;AA$60,ADC.Director!$A:$A,"&lt;="&amp;AA$61,ADC.Director!$D:$D,"&gt;"&amp;0)+sumifs('000'!$D:$D,'000'!$B:$B,$D89,'000'!$A:$A,"&gt;="&amp;AA$60,'000'!$A:$A,"&lt;="&amp;AA$61,'000'!$D:$D,"&gt;"&amp;0)+sumifs('500'!$D:$D,'500'!$B:$B,$D89,'500'!$A:$A,"&gt;="&amp;AA$60,'500'!$A:$A,"&lt;="&amp;AA$60,'500'!$D:$D,"&gt;"&amp;0)+sumifs('300'!$D:$D,'300'!$B:$B,$D89,'300'!$A:$A,"&gt;="&amp;AA$60,'300'!$A:$A,"&lt;="&amp;AA$61,'300'!$D:$D,"&gt;"&amp;0)+sumifs('600.VPA'!$D:$D,'600.VPA'!$B:$B,$D89,'600.VPA'!$A:$A,"&gt;="&amp;AA$60,'600.VPA'!$A:$A,"&lt;="&amp;AA$61,'600.VPA'!$D:$D,"&gt;"&amp;0)</f>
        <v>0</v>
      </c>
      <c r="AB89" s="167">
        <f>sumifs(Boss!$D:$D,Boss!$B:$B,$D89,Boss!$A:$A,"&gt;="&amp;AB$60,Boss!$A:$A,"&lt;="&amp;AB$61,Boss!$D:$D,"&lt;"&amp;0)+sumifs(VPA.Director!$D:$D,VPA.Director!$B:$B,$D89,VPA.Director!$A:$A,"&gt;="&amp;AB$60,VPA.Director!$A:$A,"&lt;="&amp;AB$61,VPA.Director!$D:$D,"&lt;"&amp;0)+sumifs(ADC.Director!$D:$D,ADC.Director!$B:$B,$D89,ADC.Director!$A:$A,"&gt;="&amp;AB$60,ADC.Director!$A:$A,"&lt;="&amp;AB$61,ADC.Director!$D:$D,"&lt;"&amp;0)+sumifs('000'!$D:$D,'000'!$B:$B,$D89,'000'!$A:$A,"&gt;="&amp;AB$60,'000'!$A:$A,"&lt;="&amp;AB$61,'000'!$D:$D,"&lt;"&amp;0)+sumifs('500'!$D:$D,'500'!$B:$B,$D89,'500'!$A:$A,"&gt;="&amp;AB$60,'500'!$A:$A,"&lt;="&amp;AB$61,'500'!$D:$D,"&lt;"&amp;0)+sumifs('300'!$D:$D,'300'!$B:$B,$D89,'300'!$A:$A,"&gt;="&amp;AB$60,'300'!$A:$A,"&lt;="&amp;AB$61,'300'!$D:$D,"&lt;"&amp;0)+sumifs('600.VPA'!$D:$D,'600.VPA'!$B:$B,$D89,'600.VPA'!$A:$A,"&gt;="&amp;AB$60,'600.VPA'!$A:$A,"&lt;="&amp;AB$61,'600.VPA'!$D:$D,"&lt;"&amp;0)</f>
        <v>0</v>
      </c>
      <c r="AC89" s="168">
        <f>sumifs(Boss!$D:$D,Boss!$B:$B,$D89,Boss!$A:$A,"&gt;="&amp;AC$60,Boss!$A:$A,"&lt;="&amp;AC$61,Boss!$D:$D,"&gt;"&amp;0)+sumifs(VPA.Director!$D:$D,VPA.Director!$B:$B,$D89,VPA.Director!$A:$A,"&gt;="&amp;AC$60,VPA.Director!$A:$A,"&lt;="&amp;AC$61,VPA.Director!$D:$D,"&gt;"&amp;0)+sumifs(ADC.Director!$D:$D,ADC.Director!$B:$B,$D89,ADC.Director!$A:$A,"&gt;="&amp;AC$60,ADC.Director!$A:$A,"&lt;="&amp;AC$61,ADC.Director!$D:$D,"&gt;"&amp;0)+sumifs('000'!$D:$D,'000'!$B:$B,$D89,'000'!$A:$A,"&gt;="&amp;AC$60,'000'!$A:$A,"&lt;="&amp;AC$61,'000'!$D:$D,"&gt;"&amp;0)+sumifs('500'!$D:$D,'500'!$B:$B,$D89,'500'!$A:$A,"&gt;="&amp;AC$60,'500'!$A:$A,"&lt;="&amp;AC$60,'500'!$D:$D,"&gt;"&amp;0)+sumifs('300'!$D:$D,'300'!$B:$B,$D89,'300'!$A:$A,"&gt;="&amp;AC$60,'300'!$A:$A,"&lt;="&amp;AC$61,'300'!$D:$D,"&gt;"&amp;0)+sumifs('600.VPA'!$D:$D,'600.VPA'!$B:$B,$D89,'600.VPA'!$A:$A,"&gt;="&amp;AC$60,'600.VPA'!$A:$A,"&lt;="&amp;AC$61,'600.VPA'!$D:$D,"&gt;"&amp;0)</f>
        <v>0</v>
      </c>
      <c r="AD89" s="167">
        <f>sumifs(Boss!$D:$D,Boss!$B:$B,$D89,Boss!$A:$A,"&gt;="&amp;AD$60,Boss!$A:$A,"&lt;="&amp;AD$61,Boss!$D:$D,"&lt;"&amp;0)+sumifs(VPA.Director!$D:$D,VPA.Director!$B:$B,$D89,VPA.Director!$A:$A,"&gt;="&amp;AD$60,VPA.Director!$A:$A,"&lt;="&amp;AD$61,VPA.Director!$D:$D,"&lt;"&amp;0)+sumifs(ADC.Director!$D:$D,ADC.Director!$B:$B,$D89,ADC.Director!$A:$A,"&gt;="&amp;AD$60,ADC.Director!$A:$A,"&lt;="&amp;AD$61,ADC.Director!$D:$D,"&lt;"&amp;0)+sumifs('000'!$D:$D,'000'!$B:$B,$D89,'000'!$A:$A,"&gt;="&amp;AD$60,'000'!$A:$A,"&lt;="&amp;AD$61,'000'!$D:$D,"&lt;"&amp;0)+sumifs('500'!$D:$D,'500'!$B:$B,$D89,'500'!$A:$A,"&gt;="&amp;AD$60,'500'!$A:$A,"&lt;="&amp;AD$61,'500'!$D:$D,"&lt;"&amp;0)+sumifs('300'!$D:$D,'300'!$B:$B,$D89,'300'!$A:$A,"&gt;="&amp;AD$60,'300'!$A:$A,"&lt;="&amp;AD$61,'300'!$D:$D,"&lt;"&amp;0)+sumifs('600.VPA'!$D:$D,'600.VPA'!$B:$B,$D89,'600.VPA'!$A:$A,"&gt;="&amp;AD$60,'600.VPA'!$A:$A,"&lt;="&amp;AD$61,'600.VPA'!$D:$D,"&lt;"&amp;0)</f>
        <v>0</v>
      </c>
      <c r="AE89" s="168">
        <f>sumifs(Boss!$D:$D,Boss!$B:$B,$D89,Boss!$A:$A,"&gt;="&amp;AE$60,Boss!$A:$A,"&lt;="&amp;AE$61,Boss!$D:$D,"&gt;"&amp;0)+sumifs(VPA.Director!$D:$D,VPA.Director!$B:$B,$D89,VPA.Director!$A:$A,"&gt;="&amp;AE$60,VPA.Director!$A:$A,"&lt;="&amp;AE$61,VPA.Director!$D:$D,"&gt;"&amp;0)+sumifs(ADC.Director!$D:$D,ADC.Director!$B:$B,$D89,ADC.Director!$A:$A,"&gt;="&amp;AE$60,ADC.Director!$A:$A,"&lt;="&amp;AE$61,ADC.Director!$D:$D,"&gt;"&amp;0)+sumifs('000'!$D:$D,'000'!$B:$B,$D89,'000'!$A:$A,"&gt;="&amp;AE$60,'000'!$A:$A,"&lt;="&amp;AE$61,'000'!$D:$D,"&gt;"&amp;0)+sumifs('500'!$D:$D,'500'!$B:$B,$D89,'500'!$A:$A,"&gt;="&amp;AE$60,'500'!$A:$A,"&lt;="&amp;AE$60,'500'!$D:$D,"&gt;"&amp;0)+sumifs('300'!$D:$D,'300'!$B:$B,$D89,'300'!$A:$A,"&gt;="&amp;AE$60,'300'!$A:$A,"&lt;="&amp;AE$61,'300'!$D:$D,"&gt;"&amp;0)+sumifs('600.VPA'!$D:$D,'600.VPA'!$B:$B,$D89,'600.VPA'!$A:$A,"&gt;="&amp;AE$60,'600.VPA'!$A:$A,"&lt;="&amp;AE$61,'600.VPA'!$D:$D,"&gt;"&amp;0)</f>
        <v>0</v>
      </c>
      <c r="AF89" s="167">
        <f>sumifs(Boss!$D:$D,Boss!$B:$B,$D89,Boss!$A:$A,"&gt;="&amp;AF$60,Boss!$A:$A,"&lt;="&amp;AF$61,Boss!$D:$D,"&lt;"&amp;0)+sumifs(VPA.Director!$D:$D,VPA.Director!$B:$B,$D89,VPA.Director!$A:$A,"&gt;="&amp;AF$60,VPA.Director!$A:$A,"&lt;="&amp;AF$61,VPA.Director!$D:$D,"&lt;"&amp;0)+sumifs(ADC.Director!$D:$D,ADC.Director!$B:$B,$D89,ADC.Director!$A:$A,"&gt;="&amp;AF$60,ADC.Director!$A:$A,"&lt;="&amp;AF$61,ADC.Director!$D:$D,"&lt;"&amp;0)+sumifs('000'!$D:$D,'000'!$B:$B,$D89,'000'!$A:$A,"&gt;="&amp;AF$60,'000'!$A:$A,"&lt;="&amp;AF$61,'000'!$D:$D,"&lt;"&amp;0)+sumifs('500'!$D:$D,'500'!$B:$B,$D89,'500'!$A:$A,"&gt;="&amp;AF$60,'500'!$A:$A,"&lt;="&amp;AF$61,'500'!$D:$D,"&lt;"&amp;0)+sumifs('300'!$D:$D,'300'!$B:$B,$D89,'300'!$A:$A,"&gt;="&amp;AF$60,'300'!$A:$A,"&lt;="&amp;AF$61,'300'!$D:$D,"&lt;"&amp;0)+sumifs('600.VPA'!$D:$D,'600.VPA'!$B:$B,$D89,'600.VPA'!$A:$A,"&gt;="&amp;AF$60,'600.VPA'!$A:$A,"&lt;="&amp;AF$61,'600.VPA'!$D:$D,"&lt;"&amp;0)</f>
        <v>0</v>
      </c>
      <c r="AG89" s="168">
        <f>sumifs(Boss!$D:$D,Boss!$B:$B,$D89,Boss!$A:$A,"&gt;="&amp;AG$60,Boss!$A:$A,"&lt;="&amp;AG$61,Boss!$D:$D,"&gt;"&amp;0)+sumifs(VPA.Director!$D:$D,VPA.Director!$B:$B,$D89,VPA.Director!$A:$A,"&gt;="&amp;AG$60,VPA.Director!$A:$A,"&lt;="&amp;AG$61,VPA.Director!$D:$D,"&gt;"&amp;0)+sumifs(ADC.Director!$D:$D,ADC.Director!$B:$B,$D89,ADC.Director!$A:$A,"&gt;="&amp;AG$60,ADC.Director!$A:$A,"&lt;="&amp;AG$61,ADC.Director!$D:$D,"&gt;"&amp;0)+sumifs('000'!$D:$D,'000'!$B:$B,$D89,'000'!$A:$A,"&gt;="&amp;AG$60,'000'!$A:$A,"&lt;="&amp;AG$61,'000'!$D:$D,"&gt;"&amp;0)+sumifs('500'!$D:$D,'500'!$B:$B,$D89,'500'!$A:$A,"&gt;="&amp;AG$60,'500'!$A:$A,"&lt;="&amp;AG$60,'500'!$D:$D,"&gt;"&amp;0)+sumifs('300'!$D:$D,'300'!$B:$B,$D89,'300'!$A:$A,"&gt;="&amp;AG$60,'300'!$A:$A,"&lt;="&amp;AG$61,'300'!$D:$D,"&gt;"&amp;0)+sumifs('600.VPA'!$D:$D,'600.VPA'!$B:$B,$D89,'600.VPA'!$A:$A,"&gt;="&amp;AG$60,'600.VPA'!$A:$A,"&lt;="&amp;AG$61,'600.VPA'!$D:$D,"&gt;"&amp;0)</f>
        <v>0</v>
      </c>
      <c r="AH89" s="169">
        <f t="shared" ref="AH89:AI89" si="27">sum(I89,K89,M89,O89,Q89,S89,V89,X89,Z89,AB89,AD89,AF89)</f>
        <v>0</v>
      </c>
      <c r="AI89" s="170">
        <f t="shared" si="27"/>
        <v>0</v>
      </c>
      <c r="AJ89" s="169">
        <f t="shared" si="4"/>
        <v>0</v>
      </c>
      <c r="AK89" s="89"/>
      <c r="AL89" s="89"/>
      <c r="AM89" s="89"/>
      <c r="AN89" s="89"/>
      <c r="AO89" s="89"/>
      <c r="AP89" s="89"/>
      <c r="AQ89" s="89"/>
      <c r="AR89" s="89"/>
      <c r="AS89" s="89"/>
      <c r="AT89" s="89"/>
      <c r="AU89" s="89"/>
    </row>
    <row r="90">
      <c r="A90" s="86"/>
      <c r="B90" s="163"/>
      <c r="C90" s="172"/>
      <c r="D90" s="173" t="s">
        <v>94</v>
      </c>
      <c r="E90" s="174" t="s">
        <v>18</v>
      </c>
      <c r="F90" s="173" t="s">
        <v>166</v>
      </c>
      <c r="G90" s="173" t="s">
        <v>96</v>
      </c>
      <c r="H90" s="173" t="s">
        <v>97</v>
      </c>
      <c r="I90" s="167">
        <f>sumifs(Boss!$D:$D,Boss!$B:$B,$D90,Boss!$A:$A,"&gt;="&amp;I$60,Boss!$A:$A,"&lt;="&amp;I$61,Boss!$D:$D,"&lt;"&amp;0)+sumifs(VPA.Director!$D:$D,VPA.Director!$B:$B,$D90,VPA.Director!$A:$A,"&gt;="&amp;I$60,VPA.Director!$A:$A,"&lt;="&amp;I$61,VPA.Director!$D:$D,"&lt;"&amp;0)+sumifs(ADC.Director!$D:$D,ADC.Director!$B:$B,$D90,ADC.Director!$A:$A,"&gt;="&amp;I$60,ADC.Director!$A:$A,"&lt;="&amp;I$61,ADC.Director!$D:$D,"&lt;"&amp;0)+sumifs('000'!$D:$D,'000'!$B:$B,$D90,'000'!$A:$A,"&gt;="&amp;I$60,'000'!$A:$A,"&lt;="&amp;I$61,'000'!$D:$D,"&lt;"&amp;0)+sumifs('500'!$D:$D,'500'!$B:$B,$D90,'500'!$A:$A,"&gt;="&amp;I$60,'500'!$A:$A,"&lt;="&amp;I$61,'500'!$D:$D,"&lt;"&amp;0)+sumifs('300'!$D:$D,'300'!$B:$B,$D90,'300'!$A:$A,"&gt;="&amp;I$60,'300'!$A:$A,"&lt;="&amp;I$61,'300'!$D:$D,"&lt;"&amp;0)+sumifs('600.VPA'!$D:$D,'600.VPA'!$B:$B,$D90,'600.VPA'!$A:$A,"&gt;="&amp;I$60,'600.VPA'!$A:$A,"&lt;="&amp;I$61,'600.VPA'!$D:$D,"&lt;"&amp;0)</f>
        <v>0</v>
      </c>
      <c r="J90" s="168">
        <f>sumifs(Boss!$D:$D,Boss!$B:$B,$D90,Boss!$A:$A,"&gt;="&amp;J$60,Boss!$A:$A,"&lt;="&amp;J$61,Boss!$D:$D,"&gt;"&amp;0)+sumifs(VPA.Director!$D:$D,VPA.Director!$B:$B,$D90,VPA.Director!$A:$A,"&gt;="&amp;J$60,VPA.Director!$A:$A,"&lt;="&amp;J$61,VPA.Director!$D:$D,"&gt;"&amp;0)+sumifs(ADC.Director!$D:$D,ADC.Director!$B:$B,$D90,ADC.Director!$A:$A,"&gt;="&amp;J$60,ADC.Director!$A:$A,"&lt;="&amp;J$61,ADC.Director!$D:$D,"&gt;"&amp;0)+sumifs('000'!$D:$D,'000'!$B:$B,$D90,'000'!$A:$A,"&gt;="&amp;J$60,'000'!$A:$A,"&lt;="&amp;J$61,'000'!$D:$D,"&gt;"&amp;0)+sumifs('500'!$D:$D,'500'!$B:$B,$D90,'500'!$A:$A,"&gt;="&amp;J$60,'500'!$A:$A,"&lt;="&amp;J$60,'500'!$D:$D,"&gt;"&amp;0)+sumifs('300'!$D:$D,'300'!$B:$B,$D90,'300'!$A:$A,"&gt;="&amp;J$60,'300'!$A:$A,"&lt;="&amp;J$61,'300'!$D:$D,"&gt;"&amp;0)+sumifs('600.VPA'!$D:$D,'600.VPA'!$B:$B,$D90,'600.VPA'!$A:$A,"&gt;="&amp;J$60,'600.VPA'!$A:$A,"&lt;="&amp;J$61,'600.VPA'!$D:$D,"&gt;"&amp;0)</f>
        <v>0</v>
      </c>
      <c r="K90" s="167">
        <f>sumifs(Boss!$D:$D,Boss!$B:$B,$D90,Boss!$A:$A,"&gt;="&amp;K$60,Boss!$A:$A,"&lt;="&amp;K$61,Boss!$D:$D,"&lt;"&amp;0)+sumifs(VPA.Director!$D:$D,VPA.Director!$B:$B,$D90,VPA.Director!$A:$A,"&gt;="&amp;K$60,VPA.Director!$A:$A,"&lt;="&amp;K$61,VPA.Director!$D:$D,"&lt;"&amp;0)+sumifs(ADC.Director!$D:$D,ADC.Director!$B:$B,$D90,ADC.Director!$A:$A,"&gt;="&amp;K$60,ADC.Director!$A:$A,"&lt;="&amp;K$61,ADC.Director!$D:$D,"&lt;"&amp;0)+sumifs('000'!$D:$D,'000'!$B:$B,$D90,'000'!$A:$A,"&gt;="&amp;K$60,'000'!$A:$A,"&lt;="&amp;K$61,'000'!$D:$D,"&lt;"&amp;0)+sumifs('500'!$D:$D,'500'!$B:$B,$D90,'500'!$A:$A,"&gt;="&amp;K$60,'500'!$A:$A,"&lt;="&amp;K$61,'500'!$D:$D,"&lt;"&amp;0)+sumifs('300'!$D:$D,'300'!$B:$B,$D90,'300'!$A:$A,"&gt;="&amp;K$60,'300'!$A:$A,"&lt;="&amp;K$61,'300'!$D:$D,"&lt;"&amp;0)+sumifs('600.VPA'!$D:$D,'600.VPA'!$B:$B,$D90,'600.VPA'!$A:$A,"&gt;="&amp;K$60,'600.VPA'!$A:$A,"&lt;="&amp;K$61,'600.VPA'!$D:$D,"&lt;"&amp;0)</f>
        <v>0</v>
      </c>
      <c r="L90" s="168">
        <f>sumifs(Boss!$D:$D,Boss!$B:$B,$D90,Boss!$A:$A,"&gt;="&amp;L$60,Boss!$A:$A,"&lt;="&amp;L$61,Boss!$D:$D,"&gt;"&amp;0)+sumifs(VPA.Director!$D:$D,VPA.Director!$B:$B,$D90,VPA.Director!$A:$A,"&gt;="&amp;L$60,VPA.Director!$A:$A,"&lt;="&amp;L$61,VPA.Director!$D:$D,"&gt;"&amp;0)+sumifs(ADC.Director!$D:$D,ADC.Director!$B:$B,$D90,ADC.Director!$A:$A,"&gt;="&amp;L$60,ADC.Director!$A:$A,"&lt;="&amp;L$61,ADC.Director!$D:$D,"&gt;"&amp;0)+sumifs('000'!$D:$D,'000'!$B:$B,$D90,'000'!$A:$A,"&gt;="&amp;L$60,'000'!$A:$A,"&lt;="&amp;L$61,'000'!$D:$D,"&gt;"&amp;0)+sumifs('500'!$D:$D,'500'!$B:$B,$D90,'500'!$A:$A,"&gt;="&amp;L$60,'500'!$A:$A,"&lt;="&amp;L$60,'500'!$D:$D,"&gt;"&amp;0)+sumifs('300'!$D:$D,'300'!$B:$B,$D90,'300'!$A:$A,"&gt;="&amp;L$60,'300'!$A:$A,"&lt;="&amp;L$61,'300'!$D:$D,"&gt;"&amp;0)+sumifs('600.VPA'!$D:$D,'600.VPA'!$B:$B,$D90,'600.VPA'!$A:$A,"&gt;="&amp;L$60,'600.VPA'!$A:$A,"&lt;="&amp;L$61,'600.VPA'!$D:$D,"&gt;"&amp;0)</f>
        <v>0</v>
      </c>
      <c r="M90" s="167">
        <f>sumifs(Boss!$D:$D,Boss!$B:$B,$D90,Boss!$A:$A,"&gt;="&amp;M$60,Boss!$A:$A,"&lt;="&amp;M$61,Boss!$D:$D,"&lt;"&amp;0)+sumifs(VPA.Director!$D:$D,VPA.Director!$B:$B,$D90,VPA.Director!$A:$A,"&gt;="&amp;M$60,VPA.Director!$A:$A,"&lt;="&amp;M$61,VPA.Director!$D:$D,"&lt;"&amp;0)+sumifs(ADC.Director!$D:$D,ADC.Director!$B:$B,$D90,ADC.Director!$A:$A,"&gt;="&amp;M$60,ADC.Director!$A:$A,"&lt;="&amp;M$61,ADC.Director!$D:$D,"&lt;"&amp;0)+sumifs('000'!$D:$D,'000'!$B:$B,$D90,'000'!$A:$A,"&gt;="&amp;M$60,'000'!$A:$A,"&lt;="&amp;M$61,'000'!$D:$D,"&lt;"&amp;0)+sumifs('500'!$D:$D,'500'!$B:$B,$D90,'500'!$A:$A,"&gt;="&amp;M$60,'500'!$A:$A,"&lt;="&amp;M$61,'500'!$D:$D,"&lt;"&amp;0)+sumifs('300'!$D:$D,'300'!$B:$B,$D90,'300'!$A:$A,"&gt;="&amp;M$60,'300'!$A:$A,"&lt;="&amp;M$61,'300'!$D:$D,"&lt;"&amp;0)+sumifs('600.VPA'!$D:$D,'600.VPA'!$B:$B,$D90,'600.VPA'!$A:$A,"&gt;="&amp;M$60,'600.VPA'!$A:$A,"&lt;="&amp;M$61,'600.VPA'!$D:$D,"&lt;"&amp;0)</f>
        <v>0</v>
      </c>
      <c r="N90" s="168">
        <f>sumifs(Boss!$D:$D,Boss!$B:$B,$D90,Boss!$A:$A,"&gt;="&amp;N$60,Boss!$A:$A,"&lt;="&amp;N$61,Boss!$D:$D,"&gt;"&amp;0)+sumifs(VPA.Director!$D:$D,VPA.Director!$B:$B,$D90,VPA.Director!$A:$A,"&gt;="&amp;N$60,VPA.Director!$A:$A,"&lt;="&amp;N$61,VPA.Director!$D:$D,"&gt;"&amp;0)+sumifs(ADC.Director!$D:$D,ADC.Director!$B:$B,$D90,ADC.Director!$A:$A,"&gt;="&amp;N$60,ADC.Director!$A:$A,"&lt;="&amp;N$61,ADC.Director!$D:$D,"&gt;"&amp;0)+sumifs('000'!$D:$D,'000'!$B:$B,$D90,'000'!$A:$A,"&gt;="&amp;N$60,'000'!$A:$A,"&lt;="&amp;N$61,'000'!$D:$D,"&gt;"&amp;0)+sumifs('500'!$D:$D,'500'!$B:$B,$D90,'500'!$A:$A,"&gt;="&amp;N$60,'500'!$A:$A,"&lt;="&amp;N$60,'500'!$D:$D,"&gt;"&amp;0)+sumifs('300'!$D:$D,'300'!$B:$B,$D90,'300'!$A:$A,"&gt;="&amp;N$60,'300'!$A:$A,"&lt;="&amp;N$61,'300'!$D:$D,"&gt;"&amp;0)+sumifs('600.VPA'!$D:$D,'600.VPA'!$B:$B,$D90,'600.VPA'!$A:$A,"&gt;="&amp;N$60,'600.VPA'!$A:$A,"&lt;="&amp;N$61,'600.VPA'!$D:$D,"&gt;"&amp;0)</f>
        <v>0</v>
      </c>
      <c r="O90" s="167">
        <f>sumifs(Boss!$D:$D,Boss!$B:$B,$D90,Boss!$A:$A,"&gt;="&amp;O$60,Boss!$A:$A,"&lt;="&amp;O$61,Boss!$D:$D,"&lt;"&amp;0)+sumifs(VPA.Director!$D:$D,VPA.Director!$B:$B,$D90,VPA.Director!$A:$A,"&gt;="&amp;O$60,VPA.Director!$A:$A,"&lt;="&amp;O$61,VPA.Director!$D:$D,"&lt;"&amp;0)+sumifs(ADC.Director!$D:$D,ADC.Director!$B:$B,$D90,ADC.Director!$A:$A,"&gt;="&amp;O$60,ADC.Director!$A:$A,"&lt;="&amp;O$61,ADC.Director!$D:$D,"&lt;"&amp;0)+sumifs('000'!$D:$D,'000'!$B:$B,$D90,'000'!$A:$A,"&gt;="&amp;O$60,'000'!$A:$A,"&lt;="&amp;O$61,'000'!$D:$D,"&lt;"&amp;0)+sumifs('500'!$D:$D,'500'!$B:$B,$D90,'500'!$A:$A,"&gt;="&amp;O$60,'500'!$A:$A,"&lt;="&amp;O$61,'500'!$D:$D,"&lt;"&amp;0)+sumifs('300'!$D:$D,'300'!$B:$B,$D90,'300'!$A:$A,"&gt;="&amp;O$60,'300'!$A:$A,"&lt;="&amp;O$61,'300'!$D:$D,"&lt;"&amp;0)+sumifs('600.VPA'!$D:$D,'600.VPA'!$B:$B,$D90,'600.VPA'!$A:$A,"&gt;="&amp;O$60,'600.VPA'!$A:$A,"&lt;="&amp;O$61,'600.VPA'!$D:$D,"&lt;"&amp;0)</f>
        <v>0</v>
      </c>
      <c r="P90" s="168">
        <f>sumifs(Boss!$D:$D,Boss!$B:$B,$D90,Boss!$A:$A,"&gt;="&amp;P$60,Boss!$A:$A,"&lt;="&amp;P$61,Boss!$D:$D,"&gt;"&amp;0)+sumifs(VPA.Director!$D:$D,VPA.Director!$B:$B,$D90,VPA.Director!$A:$A,"&gt;="&amp;P$60,VPA.Director!$A:$A,"&lt;="&amp;P$61,VPA.Director!$D:$D,"&gt;"&amp;0)+sumifs(ADC.Director!$D:$D,ADC.Director!$B:$B,$D90,ADC.Director!$A:$A,"&gt;="&amp;P$60,ADC.Director!$A:$A,"&lt;="&amp;P$61,ADC.Director!$D:$D,"&gt;"&amp;0)+sumifs('000'!$D:$D,'000'!$B:$B,$D90,'000'!$A:$A,"&gt;="&amp;P$60,'000'!$A:$A,"&lt;="&amp;P$61,'000'!$D:$D,"&gt;"&amp;0)+sumifs('500'!$D:$D,'500'!$B:$B,$D90,'500'!$A:$A,"&gt;="&amp;P$60,'500'!$A:$A,"&lt;="&amp;P$60,'500'!$D:$D,"&gt;"&amp;0)+sumifs('300'!$D:$D,'300'!$B:$B,$D90,'300'!$A:$A,"&gt;="&amp;P$60,'300'!$A:$A,"&lt;="&amp;P$61,'300'!$D:$D,"&gt;"&amp;0)+sumifs('600.VPA'!$D:$D,'600.VPA'!$B:$B,$D90,'600.VPA'!$A:$A,"&gt;="&amp;P$60,'600.VPA'!$A:$A,"&lt;="&amp;P$61,'600.VPA'!$D:$D,"&gt;"&amp;0)</f>
        <v>0</v>
      </c>
      <c r="Q90" s="167">
        <f>sumifs(Boss!$D:$D,Boss!$B:$B,$D90,Boss!$A:$A,"&gt;="&amp;Q$60,Boss!$A:$A,"&lt;="&amp;Q$61,Boss!$D:$D,"&lt;"&amp;0)+sumifs(VPA.Director!$D:$D,VPA.Director!$B:$B,$D90,VPA.Director!$A:$A,"&gt;="&amp;Q$60,VPA.Director!$A:$A,"&lt;="&amp;Q$61,VPA.Director!$D:$D,"&lt;"&amp;0)+sumifs(ADC.Director!$D:$D,ADC.Director!$B:$B,$D90,ADC.Director!$A:$A,"&gt;="&amp;Q$60,ADC.Director!$A:$A,"&lt;="&amp;Q$61,ADC.Director!$D:$D,"&lt;"&amp;0)+sumifs('000'!$D:$D,'000'!$B:$B,$D90,'000'!$A:$A,"&gt;="&amp;Q$60,'000'!$A:$A,"&lt;="&amp;Q$61,'000'!$D:$D,"&lt;"&amp;0)+sumifs('500'!$D:$D,'500'!$B:$B,$D90,'500'!$A:$A,"&gt;="&amp;Q$60,'500'!$A:$A,"&lt;="&amp;Q$61,'500'!$D:$D,"&lt;"&amp;0)+sumifs('300'!$D:$D,'300'!$B:$B,$D90,'300'!$A:$A,"&gt;="&amp;Q$60,'300'!$A:$A,"&lt;="&amp;Q$61,'300'!$D:$D,"&lt;"&amp;0)+sumifs('600.VPA'!$D:$D,'600.VPA'!$B:$B,$D90,'600.VPA'!$A:$A,"&gt;="&amp;Q$60,'600.VPA'!$A:$A,"&lt;="&amp;Q$61,'600.VPA'!$D:$D,"&lt;"&amp;0)</f>
        <v>0</v>
      </c>
      <c r="R90" s="168">
        <f>sumifs(Boss!$D:$D,Boss!$B:$B,$D90,Boss!$A:$A,"&gt;="&amp;R$60,Boss!$A:$A,"&lt;="&amp;R$61,Boss!$D:$D,"&gt;"&amp;0)+sumifs(VPA.Director!$D:$D,VPA.Director!$B:$B,$D90,VPA.Director!$A:$A,"&gt;="&amp;R$60,VPA.Director!$A:$A,"&lt;="&amp;R$61,VPA.Director!$D:$D,"&gt;"&amp;0)+sumifs(ADC.Director!$D:$D,ADC.Director!$B:$B,$D90,ADC.Director!$A:$A,"&gt;="&amp;R$60,ADC.Director!$A:$A,"&lt;="&amp;R$61,ADC.Director!$D:$D,"&gt;"&amp;0)+sumifs('000'!$D:$D,'000'!$B:$B,$D90,'000'!$A:$A,"&gt;="&amp;R$60,'000'!$A:$A,"&lt;="&amp;R$61,'000'!$D:$D,"&gt;"&amp;0)+sumifs('500'!$D:$D,'500'!$B:$B,$D90,'500'!$A:$A,"&gt;="&amp;R$60,'500'!$A:$A,"&lt;="&amp;R$60,'500'!$D:$D,"&gt;"&amp;0)+sumifs('300'!$D:$D,'300'!$B:$B,$D90,'300'!$A:$A,"&gt;="&amp;R$60,'300'!$A:$A,"&lt;="&amp;R$61,'300'!$D:$D,"&gt;"&amp;0)+sumifs('600.VPA'!$D:$D,'600.VPA'!$B:$B,$D90,'600.VPA'!$A:$A,"&gt;="&amp;R$60,'600.VPA'!$A:$A,"&lt;="&amp;R$61,'600.VPA'!$D:$D,"&gt;"&amp;0)</f>
        <v>0</v>
      </c>
      <c r="S90" s="167">
        <f>sumifs(Boss!$D:$D,Boss!$B:$B,$D90,Boss!$A:$A,"&gt;="&amp;S$60,Boss!$A:$A,"&lt;="&amp;S$61,Boss!$D:$D,"&lt;"&amp;0)+sumifs(VPA.Director!$D:$D,VPA.Director!$B:$B,$D90,VPA.Director!$A:$A,"&gt;="&amp;S$60,VPA.Director!$A:$A,"&lt;="&amp;S$61,VPA.Director!$D:$D,"&lt;"&amp;0)+sumifs(ADC.Director!$D:$D,ADC.Director!$B:$B,$D90,ADC.Director!$A:$A,"&gt;="&amp;S$60,ADC.Director!$A:$A,"&lt;="&amp;S$61,ADC.Director!$D:$D,"&lt;"&amp;0)+sumifs('000'!$D:$D,'000'!$B:$B,$D90,'000'!$A:$A,"&gt;="&amp;S$60,'000'!$A:$A,"&lt;="&amp;S$61,'000'!$D:$D,"&lt;"&amp;0)+sumifs('500'!$D:$D,'500'!$B:$B,$D90,'500'!$A:$A,"&gt;="&amp;S$60,'500'!$A:$A,"&lt;="&amp;S$61,'500'!$D:$D,"&lt;"&amp;0)+sumifs('300'!$D:$D,'300'!$B:$B,$D90,'300'!$A:$A,"&gt;="&amp;S$60,'300'!$A:$A,"&lt;="&amp;S$61,'300'!$D:$D,"&lt;"&amp;0)+sumifs('600.VPA'!$D:$D,'600.VPA'!$B:$B,$D90,'600.VPA'!$A:$A,"&gt;="&amp;S$60,'600.VPA'!$A:$A,"&lt;="&amp;S$61,'600.VPA'!$D:$D,"&lt;"&amp;0)</f>
        <v>0</v>
      </c>
      <c r="T90" s="168">
        <f>sumifs(Boss!$D:$D,Boss!$B:$B,$D90,Boss!$A:$A,"&gt;="&amp;T$60,Boss!$A:$A,"&lt;="&amp;T$61,Boss!$D:$D,"&gt;"&amp;0)+sumifs(VPA.Director!$D:$D,VPA.Director!$B:$B,$D90,VPA.Director!$A:$A,"&gt;="&amp;T$60,VPA.Director!$A:$A,"&lt;="&amp;T$61,VPA.Director!$D:$D,"&gt;"&amp;0)+sumifs(ADC.Director!$D:$D,ADC.Director!$B:$B,$D90,ADC.Director!$A:$A,"&gt;="&amp;T$60,ADC.Director!$A:$A,"&lt;="&amp;T$61,ADC.Director!$D:$D,"&gt;"&amp;0)+sumifs('000'!$D:$D,'000'!$B:$B,$D90,'000'!$A:$A,"&gt;="&amp;T$60,'000'!$A:$A,"&lt;="&amp;T$61,'000'!$D:$D,"&gt;"&amp;0)+sumifs('500'!$D:$D,'500'!$B:$B,$D90,'500'!$A:$A,"&gt;="&amp;T$60,'500'!$A:$A,"&lt;="&amp;T$60,'500'!$D:$D,"&gt;"&amp;0)+sumifs('300'!$D:$D,'300'!$B:$B,$D90,'300'!$A:$A,"&gt;="&amp;T$60,'300'!$A:$A,"&lt;="&amp;T$61,'300'!$D:$D,"&gt;"&amp;0)+sumifs('600.VPA'!$D:$D,'600.VPA'!$B:$B,$D90,'600.VPA'!$A:$A,"&gt;="&amp;T$60,'600.VPA'!$A:$A,"&lt;="&amp;T$61,'600.VPA'!$D:$D,"&gt;"&amp;0)</f>
        <v>0</v>
      </c>
      <c r="U90" s="163"/>
      <c r="V90" s="167">
        <f>sumifs(Boss!$D:$D,Boss!$B:$B,$D90,Boss!$A:$A,"&gt;="&amp;V$60,Boss!$A:$A,"&lt;="&amp;V$61,Boss!$D:$D,"&lt;"&amp;0)+sumifs(VPA.Director!$D:$D,VPA.Director!$B:$B,$D90,VPA.Director!$A:$A,"&gt;="&amp;V$60,VPA.Director!$A:$A,"&lt;="&amp;V$61,VPA.Director!$D:$D,"&lt;"&amp;0)+sumifs(ADC.Director!$D:$D,ADC.Director!$B:$B,$D90,ADC.Director!$A:$A,"&gt;="&amp;V$60,ADC.Director!$A:$A,"&lt;="&amp;V$61,ADC.Director!$D:$D,"&lt;"&amp;0)+sumifs('000'!$D:$D,'000'!$B:$B,$D90,'000'!$A:$A,"&gt;="&amp;V$60,'000'!$A:$A,"&lt;="&amp;V$61,'000'!$D:$D,"&lt;"&amp;0)+sumifs('500'!$D:$D,'500'!$B:$B,$D90,'500'!$A:$A,"&gt;="&amp;V$60,'500'!$A:$A,"&lt;="&amp;V$61,'500'!$D:$D,"&lt;"&amp;0)+sumifs('300'!$D:$D,'300'!$B:$B,$D90,'300'!$A:$A,"&gt;="&amp;V$60,'300'!$A:$A,"&lt;="&amp;V$61,'300'!$D:$D,"&lt;"&amp;0)+sumifs('600.VPA'!$D:$D,'600.VPA'!$B:$B,$D90,'600.VPA'!$A:$A,"&gt;="&amp;V$60,'600.VPA'!$A:$A,"&lt;="&amp;V$61,'600.VPA'!$D:$D,"&lt;"&amp;0)</f>
        <v>0</v>
      </c>
      <c r="W90" s="168">
        <f>sumifs(Boss!$D:$D,Boss!$B:$B,$D90,Boss!$A:$A,"&gt;="&amp;W$60,Boss!$A:$A,"&lt;="&amp;W$61,Boss!$D:$D,"&gt;"&amp;0)+sumifs(VPA.Director!$D:$D,VPA.Director!$B:$B,$D90,VPA.Director!$A:$A,"&gt;="&amp;W$60,VPA.Director!$A:$A,"&lt;="&amp;W$61,VPA.Director!$D:$D,"&gt;"&amp;0)+sumifs(ADC.Director!$D:$D,ADC.Director!$B:$B,$D90,ADC.Director!$A:$A,"&gt;="&amp;W$60,ADC.Director!$A:$A,"&lt;="&amp;W$61,ADC.Director!$D:$D,"&gt;"&amp;0)+sumifs('000'!$D:$D,'000'!$B:$B,$D90,'000'!$A:$A,"&gt;="&amp;W$60,'000'!$A:$A,"&lt;="&amp;W$61,'000'!$D:$D,"&gt;"&amp;0)+sumifs('500'!$D:$D,'500'!$B:$B,$D90,'500'!$A:$A,"&gt;="&amp;W$60,'500'!$A:$A,"&lt;="&amp;W$60,'500'!$D:$D,"&gt;"&amp;0)+sumifs('300'!$D:$D,'300'!$B:$B,$D90,'300'!$A:$A,"&gt;="&amp;W$60,'300'!$A:$A,"&lt;="&amp;W$61,'300'!$D:$D,"&gt;"&amp;0)+sumifs('600.VPA'!$D:$D,'600.VPA'!$B:$B,$D90,'600.VPA'!$A:$A,"&gt;="&amp;W$60,'600.VPA'!$A:$A,"&lt;="&amp;W$61,'600.VPA'!$D:$D,"&gt;"&amp;0)</f>
        <v>0</v>
      </c>
      <c r="X90" s="167">
        <f>sumifs(Boss!$D:$D,Boss!$B:$B,$D90,Boss!$A:$A,"&gt;="&amp;X$60,Boss!$A:$A,"&lt;="&amp;X$61,Boss!$D:$D,"&lt;"&amp;0)+sumifs(VPA.Director!$D:$D,VPA.Director!$B:$B,$D90,VPA.Director!$A:$A,"&gt;="&amp;X$60,VPA.Director!$A:$A,"&lt;="&amp;X$61,VPA.Director!$D:$D,"&lt;"&amp;0)+sumifs(ADC.Director!$D:$D,ADC.Director!$B:$B,$D90,ADC.Director!$A:$A,"&gt;="&amp;X$60,ADC.Director!$A:$A,"&lt;="&amp;X$61,ADC.Director!$D:$D,"&lt;"&amp;0)+sumifs('000'!$D:$D,'000'!$B:$B,$D90,'000'!$A:$A,"&gt;="&amp;X$60,'000'!$A:$A,"&lt;="&amp;X$61,'000'!$D:$D,"&lt;"&amp;0)+sumifs('500'!$D:$D,'500'!$B:$B,$D90,'500'!$A:$A,"&gt;="&amp;X$60,'500'!$A:$A,"&lt;="&amp;X$61,'500'!$D:$D,"&lt;"&amp;0)+sumifs('300'!$D:$D,'300'!$B:$B,$D90,'300'!$A:$A,"&gt;="&amp;X$60,'300'!$A:$A,"&lt;="&amp;X$61,'300'!$D:$D,"&lt;"&amp;0)+sumifs('600.VPA'!$D:$D,'600.VPA'!$B:$B,$D90,'600.VPA'!$A:$A,"&gt;="&amp;X$60,'600.VPA'!$A:$A,"&lt;="&amp;X$61,'600.VPA'!$D:$D,"&lt;"&amp;0)</f>
        <v>0</v>
      </c>
      <c r="Y90" s="168">
        <f>sumifs(Boss!$D:$D,Boss!$B:$B,$D90,Boss!$A:$A,"&gt;="&amp;Y$60,Boss!$A:$A,"&lt;="&amp;Y$61,Boss!$D:$D,"&gt;"&amp;0)+sumifs(VPA.Director!$D:$D,VPA.Director!$B:$B,$D90,VPA.Director!$A:$A,"&gt;="&amp;Y$60,VPA.Director!$A:$A,"&lt;="&amp;Y$61,VPA.Director!$D:$D,"&gt;"&amp;0)+sumifs(ADC.Director!$D:$D,ADC.Director!$B:$B,$D90,ADC.Director!$A:$A,"&gt;="&amp;Y$60,ADC.Director!$A:$A,"&lt;="&amp;Y$61,ADC.Director!$D:$D,"&gt;"&amp;0)+sumifs('000'!$D:$D,'000'!$B:$B,$D90,'000'!$A:$A,"&gt;="&amp;Y$60,'000'!$A:$A,"&lt;="&amp;Y$61,'000'!$D:$D,"&gt;"&amp;0)+sumifs('500'!$D:$D,'500'!$B:$B,$D90,'500'!$A:$A,"&gt;="&amp;Y$60,'500'!$A:$A,"&lt;="&amp;Y$60,'500'!$D:$D,"&gt;"&amp;0)+sumifs('300'!$D:$D,'300'!$B:$B,$D90,'300'!$A:$A,"&gt;="&amp;Y$60,'300'!$A:$A,"&lt;="&amp;Y$61,'300'!$D:$D,"&gt;"&amp;0)+sumifs('600.VPA'!$D:$D,'600.VPA'!$B:$B,$D90,'600.VPA'!$A:$A,"&gt;="&amp;Y$60,'600.VPA'!$A:$A,"&lt;="&amp;Y$61,'600.VPA'!$D:$D,"&gt;"&amp;0)</f>
        <v>0</v>
      </c>
      <c r="Z90" s="167">
        <f>sumifs(Boss!$D:$D,Boss!$B:$B,$D90,Boss!$A:$A,"&gt;="&amp;Z$60,Boss!$A:$A,"&lt;="&amp;Z$61,Boss!$D:$D,"&lt;"&amp;0)+sumifs(VPA.Director!$D:$D,VPA.Director!$B:$B,$D90,VPA.Director!$A:$A,"&gt;="&amp;Z$60,VPA.Director!$A:$A,"&lt;="&amp;Z$61,VPA.Director!$D:$D,"&lt;"&amp;0)+sumifs(ADC.Director!$D:$D,ADC.Director!$B:$B,$D90,ADC.Director!$A:$A,"&gt;="&amp;Z$60,ADC.Director!$A:$A,"&lt;="&amp;Z$61,ADC.Director!$D:$D,"&lt;"&amp;0)+sumifs('000'!$D:$D,'000'!$B:$B,$D90,'000'!$A:$A,"&gt;="&amp;Z$60,'000'!$A:$A,"&lt;="&amp;Z$61,'000'!$D:$D,"&lt;"&amp;0)+sumifs('500'!$D:$D,'500'!$B:$B,$D90,'500'!$A:$A,"&gt;="&amp;Z$60,'500'!$A:$A,"&lt;="&amp;Z$61,'500'!$D:$D,"&lt;"&amp;0)+sumifs('300'!$D:$D,'300'!$B:$B,$D90,'300'!$A:$A,"&gt;="&amp;Z$60,'300'!$A:$A,"&lt;="&amp;Z$61,'300'!$D:$D,"&lt;"&amp;0)+sumifs('600.VPA'!$D:$D,'600.VPA'!$B:$B,$D90,'600.VPA'!$A:$A,"&gt;="&amp;Z$60,'600.VPA'!$A:$A,"&lt;="&amp;Z$61,'600.VPA'!$D:$D,"&lt;"&amp;0)</f>
        <v>0</v>
      </c>
      <c r="AA90" s="168">
        <f>sumifs(Boss!$D:$D,Boss!$B:$B,$D90,Boss!$A:$A,"&gt;="&amp;AA$60,Boss!$A:$A,"&lt;="&amp;AA$61,Boss!$D:$D,"&gt;"&amp;0)+sumifs(VPA.Director!$D:$D,VPA.Director!$B:$B,$D90,VPA.Director!$A:$A,"&gt;="&amp;AA$60,VPA.Director!$A:$A,"&lt;="&amp;AA$61,VPA.Director!$D:$D,"&gt;"&amp;0)+sumifs(ADC.Director!$D:$D,ADC.Director!$B:$B,$D90,ADC.Director!$A:$A,"&gt;="&amp;AA$60,ADC.Director!$A:$A,"&lt;="&amp;AA$61,ADC.Director!$D:$D,"&gt;"&amp;0)+sumifs('000'!$D:$D,'000'!$B:$B,$D90,'000'!$A:$A,"&gt;="&amp;AA$60,'000'!$A:$A,"&lt;="&amp;AA$61,'000'!$D:$D,"&gt;"&amp;0)+sumifs('500'!$D:$D,'500'!$B:$B,$D90,'500'!$A:$A,"&gt;="&amp;AA$60,'500'!$A:$A,"&lt;="&amp;AA$60,'500'!$D:$D,"&gt;"&amp;0)+sumifs('300'!$D:$D,'300'!$B:$B,$D90,'300'!$A:$A,"&gt;="&amp;AA$60,'300'!$A:$A,"&lt;="&amp;AA$61,'300'!$D:$D,"&gt;"&amp;0)+sumifs('600.VPA'!$D:$D,'600.VPA'!$B:$B,$D90,'600.VPA'!$A:$A,"&gt;="&amp;AA$60,'600.VPA'!$A:$A,"&lt;="&amp;AA$61,'600.VPA'!$D:$D,"&gt;"&amp;0)</f>
        <v>0</v>
      </c>
      <c r="AB90" s="167">
        <f>sumifs(Boss!$D:$D,Boss!$B:$B,$D90,Boss!$A:$A,"&gt;="&amp;AB$60,Boss!$A:$A,"&lt;="&amp;AB$61,Boss!$D:$D,"&lt;"&amp;0)+sumifs(VPA.Director!$D:$D,VPA.Director!$B:$B,$D90,VPA.Director!$A:$A,"&gt;="&amp;AB$60,VPA.Director!$A:$A,"&lt;="&amp;AB$61,VPA.Director!$D:$D,"&lt;"&amp;0)+sumifs(ADC.Director!$D:$D,ADC.Director!$B:$B,$D90,ADC.Director!$A:$A,"&gt;="&amp;AB$60,ADC.Director!$A:$A,"&lt;="&amp;AB$61,ADC.Director!$D:$D,"&lt;"&amp;0)+sumifs('000'!$D:$D,'000'!$B:$B,$D90,'000'!$A:$A,"&gt;="&amp;AB$60,'000'!$A:$A,"&lt;="&amp;AB$61,'000'!$D:$D,"&lt;"&amp;0)+sumifs('500'!$D:$D,'500'!$B:$B,$D90,'500'!$A:$A,"&gt;="&amp;AB$60,'500'!$A:$A,"&lt;="&amp;AB$61,'500'!$D:$D,"&lt;"&amp;0)+sumifs('300'!$D:$D,'300'!$B:$B,$D90,'300'!$A:$A,"&gt;="&amp;AB$60,'300'!$A:$A,"&lt;="&amp;AB$61,'300'!$D:$D,"&lt;"&amp;0)+sumifs('600.VPA'!$D:$D,'600.VPA'!$B:$B,$D90,'600.VPA'!$A:$A,"&gt;="&amp;AB$60,'600.VPA'!$A:$A,"&lt;="&amp;AB$61,'600.VPA'!$D:$D,"&lt;"&amp;0)</f>
        <v>0</v>
      </c>
      <c r="AC90" s="168">
        <f>sumifs(Boss!$D:$D,Boss!$B:$B,$D90,Boss!$A:$A,"&gt;="&amp;AC$60,Boss!$A:$A,"&lt;="&amp;AC$61,Boss!$D:$D,"&gt;"&amp;0)+sumifs(VPA.Director!$D:$D,VPA.Director!$B:$B,$D90,VPA.Director!$A:$A,"&gt;="&amp;AC$60,VPA.Director!$A:$A,"&lt;="&amp;AC$61,VPA.Director!$D:$D,"&gt;"&amp;0)+sumifs(ADC.Director!$D:$D,ADC.Director!$B:$B,$D90,ADC.Director!$A:$A,"&gt;="&amp;AC$60,ADC.Director!$A:$A,"&lt;="&amp;AC$61,ADC.Director!$D:$D,"&gt;"&amp;0)+sumifs('000'!$D:$D,'000'!$B:$B,$D90,'000'!$A:$A,"&gt;="&amp;AC$60,'000'!$A:$A,"&lt;="&amp;AC$61,'000'!$D:$D,"&gt;"&amp;0)+sumifs('500'!$D:$D,'500'!$B:$B,$D90,'500'!$A:$A,"&gt;="&amp;AC$60,'500'!$A:$A,"&lt;="&amp;AC$60,'500'!$D:$D,"&gt;"&amp;0)+sumifs('300'!$D:$D,'300'!$B:$B,$D90,'300'!$A:$A,"&gt;="&amp;AC$60,'300'!$A:$A,"&lt;="&amp;AC$61,'300'!$D:$D,"&gt;"&amp;0)+sumifs('600.VPA'!$D:$D,'600.VPA'!$B:$B,$D90,'600.VPA'!$A:$A,"&gt;="&amp;AC$60,'600.VPA'!$A:$A,"&lt;="&amp;AC$61,'600.VPA'!$D:$D,"&gt;"&amp;0)</f>
        <v>0</v>
      </c>
      <c r="AD90" s="167">
        <f>sumifs(Boss!$D:$D,Boss!$B:$B,$D90,Boss!$A:$A,"&gt;="&amp;AD$60,Boss!$A:$A,"&lt;="&amp;AD$61,Boss!$D:$D,"&lt;"&amp;0)+sumifs(VPA.Director!$D:$D,VPA.Director!$B:$B,$D90,VPA.Director!$A:$A,"&gt;="&amp;AD$60,VPA.Director!$A:$A,"&lt;="&amp;AD$61,VPA.Director!$D:$D,"&lt;"&amp;0)+sumifs(ADC.Director!$D:$D,ADC.Director!$B:$B,$D90,ADC.Director!$A:$A,"&gt;="&amp;AD$60,ADC.Director!$A:$A,"&lt;="&amp;AD$61,ADC.Director!$D:$D,"&lt;"&amp;0)+sumifs('000'!$D:$D,'000'!$B:$B,$D90,'000'!$A:$A,"&gt;="&amp;AD$60,'000'!$A:$A,"&lt;="&amp;AD$61,'000'!$D:$D,"&lt;"&amp;0)+sumifs('500'!$D:$D,'500'!$B:$B,$D90,'500'!$A:$A,"&gt;="&amp;AD$60,'500'!$A:$A,"&lt;="&amp;AD$61,'500'!$D:$D,"&lt;"&amp;0)+sumifs('300'!$D:$D,'300'!$B:$B,$D90,'300'!$A:$A,"&gt;="&amp;AD$60,'300'!$A:$A,"&lt;="&amp;AD$61,'300'!$D:$D,"&lt;"&amp;0)+sumifs('600.VPA'!$D:$D,'600.VPA'!$B:$B,$D90,'600.VPA'!$A:$A,"&gt;="&amp;AD$60,'600.VPA'!$A:$A,"&lt;="&amp;AD$61,'600.VPA'!$D:$D,"&lt;"&amp;0)</f>
        <v>0</v>
      </c>
      <c r="AE90" s="168">
        <f>sumifs(Boss!$D:$D,Boss!$B:$B,$D90,Boss!$A:$A,"&gt;="&amp;AE$60,Boss!$A:$A,"&lt;="&amp;AE$61,Boss!$D:$D,"&gt;"&amp;0)+sumifs(VPA.Director!$D:$D,VPA.Director!$B:$B,$D90,VPA.Director!$A:$A,"&gt;="&amp;AE$60,VPA.Director!$A:$A,"&lt;="&amp;AE$61,VPA.Director!$D:$D,"&gt;"&amp;0)+sumifs(ADC.Director!$D:$D,ADC.Director!$B:$B,$D90,ADC.Director!$A:$A,"&gt;="&amp;AE$60,ADC.Director!$A:$A,"&lt;="&amp;AE$61,ADC.Director!$D:$D,"&gt;"&amp;0)+sumifs('000'!$D:$D,'000'!$B:$B,$D90,'000'!$A:$A,"&gt;="&amp;AE$60,'000'!$A:$A,"&lt;="&amp;AE$61,'000'!$D:$D,"&gt;"&amp;0)+sumifs('500'!$D:$D,'500'!$B:$B,$D90,'500'!$A:$A,"&gt;="&amp;AE$60,'500'!$A:$A,"&lt;="&amp;AE$60,'500'!$D:$D,"&gt;"&amp;0)+sumifs('300'!$D:$D,'300'!$B:$B,$D90,'300'!$A:$A,"&gt;="&amp;AE$60,'300'!$A:$A,"&lt;="&amp;AE$61,'300'!$D:$D,"&gt;"&amp;0)+sumifs('600.VPA'!$D:$D,'600.VPA'!$B:$B,$D90,'600.VPA'!$A:$A,"&gt;="&amp;AE$60,'600.VPA'!$A:$A,"&lt;="&amp;AE$61,'600.VPA'!$D:$D,"&gt;"&amp;0)</f>
        <v>0</v>
      </c>
      <c r="AF90" s="167">
        <f>sumifs(Boss!$D:$D,Boss!$B:$B,$D90,Boss!$A:$A,"&gt;="&amp;AF$60,Boss!$A:$A,"&lt;="&amp;AF$61,Boss!$D:$D,"&lt;"&amp;0)+sumifs(VPA.Director!$D:$D,VPA.Director!$B:$B,$D90,VPA.Director!$A:$A,"&gt;="&amp;AF$60,VPA.Director!$A:$A,"&lt;="&amp;AF$61,VPA.Director!$D:$D,"&lt;"&amp;0)+sumifs(ADC.Director!$D:$D,ADC.Director!$B:$B,$D90,ADC.Director!$A:$A,"&gt;="&amp;AF$60,ADC.Director!$A:$A,"&lt;="&amp;AF$61,ADC.Director!$D:$D,"&lt;"&amp;0)+sumifs('000'!$D:$D,'000'!$B:$B,$D90,'000'!$A:$A,"&gt;="&amp;AF$60,'000'!$A:$A,"&lt;="&amp;AF$61,'000'!$D:$D,"&lt;"&amp;0)+sumifs('500'!$D:$D,'500'!$B:$B,$D90,'500'!$A:$A,"&gt;="&amp;AF$60,'500'!$A:$A,"&lt;="&amp;AF$61,'500'!$D:$D,"&lt;"&amp;0)+sumifs('300'!$D:$D,'300'!$B:$B,$D90,'300'!$A:$A,"&gt;="&amp;AF$60,'300'!$A:$A,"&lt;="&amp;AF$61,'300'!$D:$D,"&lt;"&amp;0)+sumifs('600.VPA'!$D:$D,'600.VPA'!$B:$B,$D90,'600.VPA'!$A:$A,"&gt;="&amp;AF$60,'600.VPA'!$A:$A,"&lt;="&amp;AF$61,'600.VPA'!$D:$D,"&lt;"&amp;0)</f>
        <v>0</v>
      </c>
      <c r="AG90" s="168">
        <f>sumifs(Boss!$D:$D,Boss!$B:$B,$D90,Boss!$A:$A,"&gt;="&amp;AG$60,Boss!$A:$A,"&lt;="&amp;AG$61,Boss!$D:$D,"&gt;"&amp;0)+sumifs(VPA.Director!$D:$D,VPA.Director!$B:$B,$D90,VPA.Director!$A:$A,"&gt;="&amp;AG$60,VPA.Director!$A:$A,"&lt;="&amp;AG$61,VPA.Director!$D:$D,"&gt;"&amp;0)+sumifs(ADC.Director!$D:$D,ADC.Director!$B:$B,$D90,ADC.Director!$A:$A,"&gt;="&amp;AG$60,ADC.Director!$A:$A,"&lt;="&amp;AG$61,ADC.Director!$D:$D,"&gt;"&amp;0)+sumifs('000'!$D:$D,'000'!$B:$B,$D90,'000'!$A:$A,"&gt;="&amp;AG$60,'000'!$A:$A,"&lt;="&amp;AG$61,'000'!$D:$D,"&gt;"&amp;0)+sumifs('500'!$D:$D,'500'!$B:$B,$D90,'500'!$A:$A,"&gt;="&amp;AG$60,'500'!$A:$A,"&lt;="&amp;AG$60,'500'!$D:$D,"&gt;"&amp;0)+sumifs('300'!$D:$D,'300'!$B:$B,$D90,'300'!$A:$A,"&gt;="&amp;AG$60,'300'!$A:$A,"&lt;="&amp;AG$61,'300'!$D:$D,"&gt;"&amp;0)+sumifs('600.VPA'!$D:$D,'600.VPA'!$B:$B,$D90,'600.VPA'!$A:$A,"&gt;="&amp;AG$60,'600.VPA'!$A:$A,"&lt;="&amp;AG$61,'600.VPA'!$D:$D,"&gt;"&amp;0)</f>
        <v>0</v>
      </c>
      <c r="AH90" s="169">
        <f t="shared" ref="AH90:AI90" si="28">sum(I90,K90,M90,O90,Q90,S90,V90,X90,Z90,AB90,AD90,AF90)</f>
        <v>0</v>
      </c>
      <c r="AI90" s="170">
        <f t="shared" si="28"/>
        <v>0</v>
      </c>
      <c r="AJ90" s="169">
        <f t="shared" si="4"/>
        <v>0</v>
      </c>
      <c r="AK90" s="89"/>
      <c r="AL90" s="89"/>
      <c r="AM90" s="89"/>
      <c r="AN90" s="89"/>
      <c r="AO90" s="89"/>
      <c r="AP90" s="89"/>
      <c r="AQ90" s="89"/>
      <c r="AR90" s="89"/>
      <c r="AS90" s="89"/>
      <c r="AT90" s="89"/>
      <c r="AU90" s="89"/>
    </row>
    <row r="91">
      <c r="A91" s="86"/>
      <c r="B91" s="87"/>
      <c r="C91" s="175"/>
      <c r="D91" s="100"/>
      <c r="E91" s="100"/>
      <c r="F91" s="100"/>
      <c r="G91" s="100"/>
      <c r="H91" s="100"/>
      <c r="I91" s="87"/>
      <c r="J91" s="87"/>
      <c r="K91" s="87"/>
      <c r="L91" s="87"/>
      <c r="M91" s="176"/>
      <c r="P91" s="177" t="s">
        <v>167</v>
      </c>
      <c r="T91" s="176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</row>
    <row r="92">
      <c r="A92" s="86"/>
      <c r="B92" s="87"/>
      <c r="C92" s="175"/>
      <c r="D92" s="100"/>
      <c r="E92" s="100"/>
      <c r="F92" s="100"/>
      <c r="G92" s="100"/>
      <c r="H92" s="100"/>
      <c r="I92" s="87"/>
      <c r="J92" s="87"/>
      <c r="K92" s="87"/>
      <c r="L92" s="87"/>
      <c r="P92" s="178"/>
      <c r="Q92" s="179" t="s">
        <v>168</v>
      </c>
      <c r="R92" s="179"/>
      <c r="S92" s="11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</row>
    <row r="93">
      <c r="A93" s="180"/>
      <c r="B93" s="85"/>
      <c r="C93" s="181"/>
      <c r="D93" s="182"/>
      <c r="E93" s="183"/>
      <c r="F93" s="182"/>
      <c r="G93" s="182"/>
      <c r="H93" s="182"/>
      <c r="I93" s="184"/>
      <c r="J93" s="184"/>
      <c r="K93" s="184"/>
      <c r="L93" s="184"/>
      <c r="M93" s="185"/>
      <c r="N93" s="185"/>
      <c r="O93" s="185"/>
      <c r="P93" s="185"/>
      <c r="Q93" s="186" t="s">
        <v>168</v>
      </c>
      <c r="R93" s="187"/>
      <c r="S93" s="188"/>
      <c r="T93" s="185"/>
      <c r="U93" s="185"/>
      <c r="V93" s="185"/>
      <c r="W93" s="185"/>
      <c r="X93" s="184"/>
      <c r="Y93" s="184"/>
      <c r="Z93" s="184"/>
      <c r="AA93" s="184"/>
      <c r="AB93" s="184"/>
      <c r="AC93" s="184"/>
      <c r="AD93" s="184"/>
      <c r="AE93" s="184"/>
      <c r="AF93" s="184"/>
      <c r="AG93" s="184"/>
      <c r="AH93" s="189"/>
      <c r="AI93" s="189"/>
      <c r="AJ93" s="189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</row>
  </sheetData>
  <mergeCells count="34">
    <mergeCell ref="B1:AJ24"/>
    <mergeCell ref="C25:V25"/>
    <mergeCell ref="V26:V28"/>
    <mergeCell ref="C27:H27"/>
    <mergeCell ref="E28:F28"/>
    <mergeCell ref="C29:C39"/>
    <mergeCell ref="C40:C44"/>
    <mergeCell ref="H62:H63"/>
    <mergeCell ref="I62:J62"/>
    <mergeCell ref="C64:C73"/>
    <mergeCell ref="C76:C79"/>
    <mergeCell ref="C80:C90"/>
    <mergeCell ref="K62:L62"/>
    <mergeCell ref="M62:N62"/>
    <mergeCell ref="M91:O92"/>
    <mergeCell ref="P91:S91"/>
    <mergeCell ref="T91:W92"/>
    <mergeCell ref="O62:P62"/>
    <mergeCell ref="Q62:R62"/>
    <mergeCell ref="S62:T62"/>
    <mergeCell ref="V62:W62"/>
    <mergeCell ref="X62:Y62"/>
    <mergeCell ref="Z62:AA62"/>
    <mergeCell ref="AB62:AC62"/>
    <mergeCell ref="AD62:AE62"/>
    <mergeCell ref="AH62:AJ62"/>
    <mergeCell ref="C45:C55"/>
    <mergeCell ref="C57:I57"/>
    <mergeCell ref="C59:AI59"/>
    <mergeCell ref="C60:H60"/>
    <mergeCell ref="E61:F61"/>
    <mergeCell ref="D62:D63"/>
    <mergeCell ref="E62:F63"/>
    <mergeCell ref="AF62:AG62"/>
  </mergeCells>
  <hyperlinks>
    <hyperlink display="Hieu.600" location="StaffInformation!H423" ref="E29"/>
    <hyperlink display="Dat.600" location="StaffInformation!G303" ref="E30"/>
    <hyperlink display="Trang.600" location="StaffInformation!H3" ref="E31"/>
    <hyperlink display="Duong.600" location="StaffInformation!H63" ref="E32"/>
    <hyperlink display="Quynh.600" location="StaffInformation!H244" ref="E33"/>
    <hyperlink display="Lam.600" location="StaffInformation!G183" ref="E34"/>
    <hyperlink display="Huyen.600" location="StaffInformation!H453" ref="E35"/>
    <hyperlink display="Quan.600" location="StaffInformation!H153" ref="E36"/>
    <hyperlink display="Giang.500" location="StaffInformation!H273" ref="E37"/>
    <hyperlink display="Lan Huong.600" location="StaffInformation!H423" ref="E38"/>
    <hyperlink display="Kien.TYM" location="StaffInformation!G333" ref="E39"/>
    <hyperlink display="Vu.600" location="StaffInformation!G363" ref="E40"/>
    <hyperlink display="Quyet.600" location="StaffInformation!G393" ref="E41"/>
    <hyperlink display="Thuyet.Site" location="StaffInformation!G484" ref="E42"/>
    <hyperlink display="Nam.600" location="StaffInformation!H213" ref="E43"/>
    <hyperlink display="Tien.200" location="StaffInformation!H1025" ref="E45"/>
    <hyperlink display="Luat.000" location="StaffInformation!G785" ref="E46"/>
    <hyperlink display="Duy Anh.200" location="StaffInformation!G995" ref="E47"/>
    <hyperlink display="Trang.300" location="StaffInformation!H965" ref="E48"/>
    <hyperlink display="Sim.300" location="StaffInformation!G875" ref="E49"/>
    <hyperlink display="Thuy.300" location="StaffInformation!G905" ref="E50"/>
    <hyperlink display="Hong.300" location="StaffInformation!G635" ref="E51"/>
    <hyperlink display="Tam.500" location="StaffInformation!G93" ref="E52"/>
    <hyperlink display="Thao.500" location="StaffInformation!G665" ref="E53"/>
    <hyperlink display="Quyen.500" location="StaffInformation!G123" ref="E54"/>
    <hyperlink display="Hieu.100" location="StaffInformation!G935" ref="E55"/>
    <hyperlink display="Hieu.600" location="StaffInformation!G514" ref="E64"/>
    <hyperlink display="Dat.600" location="StaffInformation!G303" ref="E65"/>
    <hyperlink display="Trang.600" location="StaffInformation!G63" ref="E66"/>
    <hyperlink display="Duong.600" location="StaffInformation!G393" ref="E67"/>
    <hyperlink display="Quynh.600" location="StaffInformation!H244" ref="E68"/>
    <hyperlink display="Lam.600" location="StaffInformation!G183" ref="E69"/>
    <hyperlink display="Huyen.600" location="StaffInformation!H453" ref="E70"/>
    <hyperlink display="Quan.600" location="StaffInformation!H154" ref="E71"/>
    <hyperlink display="Giang.500" location="StaffInformation!H273" ref="E72"/>
    <hyperlink display="Lan Huong.600" location="StaffInformation!H423" ref="E73"/>
    <hyperlink display="Vu.600" location="StaffInformation!G363" ref="E74"/>
    <hyperlink display="Kien.TYM" location="StaffInformation!G333" ref="E75"/>
    <hyperlink display="Quyet.600" location="StaffInformation!G453" ref="E76"/>
    <hyperlink display="Thuyet.Site" location="StaffInformation!G484" ref="E77"/>
    <hyperlink display="Luat.000" location="StaffInformation!G785" ref="E80"/>
    <hyperlink display="Duy Anh.200" location="StaffInformation!G995" ref="E81"/>
    <hyperlink display="Sim.300" location="StaffInformation!G875" ref="E82"/>
    <hyperlink display="Thuy.300" location="StaffInformation!G905" ref="E83"/>
    <hyperlink display="Trang.300" location="StaffInformation!H965" ref="E84"/>
    <hyperlink display="Hong.300" location="StaffInformation!G635" ref="E85"/>
    <hyperlink display="Tam.500" location="StaffInformation!G93" ref="E86"/>
    <hyperlink display="Thao.500" location="StaffInformation!G665" ref="E87"/>
    <hyperlink display="Quyen.500" location="StaffInformation!G123" ref="E88"/>
    <hyperlink display="Hieu.100" location="StaffInformation!G935" ref="E89"/>
    <hyperlink display="Tien.200" location="StaffInformation!H1025" ref="E90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8.5"/>
    <col customWidth="1" min="2" max="2" width="29.13"/>
    <col customWidth="1" min="3" max="3" width="37.13"/>
    <col customWidth="1" min="4" max="4" width="16.5"/>
    <col customWidth="1" hidden="1" min="5" max="5" width="14.75"/>
    <col customWidth="1" hidden="1" min="6" max="6" width="18.88"/>
  </cols>
  <sheetData>
    <row r="1">
      <c r="A1" s="190" t="str">
        <f>IFERROR(__xludf.DUMMYFUNCTION("importrange(""https://docs.google.com/spreadsheets/d/1lLUezGr04gttZmCjozdXOUr60iM6OX1ezrYWKwC1J1g/edit?gid=1274817499#gid=1274817499"",""Boss!A:E"")"),"")</f>
        <v/>
      </c>
      <c r="F1" s="191"/>
    </row>
    <row r="2">
      <c r="A2" s="192"/>
      <c r="B2" s="193" t="str">
        <f>IFERROR(__xludf.DUMMYFUNCTION("""COMPUTED_VALUE"""),"Timestamp")</f>
        <v>Timestamp</v>
      </c>
      <c r="C2" s="194" t="str">
        <f>IFERROR(__xludf.DUMMYFUNCTION("""COMPUTED_VALUE"""),"1. Penalty &amp; Bonus Staff")</f>
        <v>1. Penalty &amp; Bonus Staff</v>
      </c>
      <c r="D2" s="194" t="str">
        <f>IFERROR(__xludf.DUMMYFUNCTION("""COMPUTED_VALUE"""),"2. Reason - 이유:")</f>
        <v>2. Reason - 이유:</v>
      </c>
      <c r="E2" s="194" t="str">
        <f>IFERROR(__xludf.DUMMYFUNCTION("""COMPUTED_VALUE"""),"3. Penalty Point (-) / Bonus Point (+) ")</f>
        <v>3. Penalty Point (-) / Bonus Point (+) </v>
      </c>
      <c r="F2" s="194"/>
    </row>
    <row r="3" hidden="1">
      <c r="A3" s="195" t="str">
        <f>IFERROR(__xludf.DUMMYFUNCTION("""COMPUTED_VALUE"""),"손민창 (Son, MinChang)")</f>
        <v>손민창 (Son, MinChang)</v>
      </c>
      <c r="B3" s="196">
        <f>IFERROR(__xludf.DUMMYFUNCTION("""COMPUTED_VALUE"""),45461.748078703706)</f>
        <v>45461.74808</v>
      </c>
      <c r="C3" s="197" t="str">
        <f>IFERROR(__xludf.DUMMYFUNCTION("""COMPUTED_VALUE"""),"000.Luat")</f>
        <v>000.Luat</v>
      </c>
      <c r="D3" s="197" t="str">
        <f>IFERROR(__xludf.DUMMYFUNCTION("""COMPUTED_VALUE"""),"300 주간업무보고 미작성과 협동심 부족")</f>
        <v>300 주간업무보고 미작성과 협동심 부족</v>
      </c>
      <c r="E3" s="197">
        <f>IFERROR(__xludf.DUMMYFUNCTION("""COMPUTED_VALUE"""),-3.0)</f>
        <v>-3</v>
      </c>
    </row>
    <row r="4" hidden="1">
      <c r="A4" s="195" t="str">
        <f>IFERROR(__xludf.DUMMYFUNCTION("""COMPUTED_VALUE"""),"손민창 (Son, MinChang)")</f>
        <v>손민창 (Son, MinChang)</v>
      </c>
      <c r="B4" s="196">
        <f>IFERROR(__xludf.DUMMYFUNCTION("""COMPUTED_VALUE"""),45461.74743055556)</f>
        <v>45461.74743</v>
      </c>
      <c r="C4" s="197" t="str">
        <f>IFERROR(__xludf.DUMMYFUNCTION("""COMPUTED_VALUE"""),"300.Thuy")</f>
        <v>300.Thuy</v>
      </c>
      <c r="D4" s="197" t="str">
        <f>IFERROR(__xludf.DUMMYFUNCTION("""COMPUTED_VALUE"""),"300 주간업무보고 미작성과 협동심 부족")</f>
        <v>300 주간업무보고 미작성과 협동심 부족</v>
      </c>
      <c r="E4" s="197">
        <f>IFERROR(__xludf.DUMMYFUNCTION("""COMPUTED_VALUE"""),-2.0)</f>
        <v>-2</v>
      </c>
    </row>
    <row r="5" hidden="1">
      <c r="A5" s="195" t="str">
        <f>IFERROR(__xludf.DUMMYFUNCTION("""COMPUTED_VALUE"""),"손민창 (Son, MinChang)")</f>
        <v>손민창 (Son, MinChang)</v>
      </c>
      <c r="B5" s="196">
        <f>IFERROR(__xludf.DUMMYFUNCTION("""COMPUTED_VALUE"""),45461.745844907404)</f>
        <v>45461.74584</v>
      </c>
      <c r="C5" s="197" t="str">
        <f>IFERROR(__xludf.DUMMYFUNCTION("""COMPUTED_VALUE"""),"300.Sim")</f>
        <v>300.Sim</v>
      </c>
      <c r="D5" s="197" t="str">
        <f>IFERROR(__xludf.DUMMYFUNCTION("""COMPUTED_VALUE"""),"300 협동심 부족")</f>
        <v>300 협동심 부족</v>
      </c>
      <c r="E5" s="197">
        <f>IFERROR(__xludf.DUMMYFUNCTION("""COMPUTED_VALUE"""),-1.0)</f>
        <v>-1</v>
      </c>
    </row>
    <row r="6" hidden="1">
      <c r="A6" s="195" t="str">
        <f>IFERROR(__xludf.DUMMYFUNCTION("""COMPUTED_VALUE"""),"손민창 (Son, MinChang)")</f>
        <v>손민창 (Son, MinChang)</v>
      </c>
      <c r="B6" s="196">
        <f>IFERROR(__xludf.DUMMYFUNCTION("""COMPUTED_VALUE"""),45461.74545138889)</f>
        <v>45461.74545</v>
      </c>
      <c r="C6" s="197" t="str">
        <f>IFERROR(__xludf.DUMMYFUNCTION("""COMPUTED_VALUE"""),"300.Sim")</f>
        <v>300.Sim</v>
      </c>
      <c r="D6" s="197" t="str">
        <f>IFERROR(__xludf.DUMMYFUNCTION("""COMPUTED_VALUE"""),"300 주간업무보고 미작성")</f>
        <v>300 주간업무보고 미작성</v>
      </c>
      <c r="E6" s="197">
        <f>IFERROR(__xludf.DUMMYFUNCTION("""COMPUTED_VALUE"""),-1.0)</f>
        <v>-1</v>
      </c>
    </row>
    <row r="7" hidden="1">
      <c r="A7" s="195" t="str">
        <f>IFERROR(__xludf.DUMMYFUNCTION("""COMPUTED_VALUE"""),"손민창 (Son, MinChang)")</f>
        <v>손민창 (Son, MinChang)</v>
      </c>
      <c r="B7" s="196">
        <f>IFERROR(__xludf.DUMMYFUNCTION("""COMPUTED_VALUE"""),45461.74508101852)</f>
        <v>45461.74508</v>
      </c>
      <c r="C7" s="197" t="str">
        <f>IFERROR(__xludf.DUMMYFUNCTION("""COMPUTED_VALUE"""),"500.Tam")</f>
        <v>500.Tam</v>
      </c>
      <c r="D7" s="197" t="str">
        <f>IFERROR(__xludf.DUMMYFUNCTION("""COMPUTED_VALUE"""),"ESSA 많은 추가 견적서 작성")</f>
        <v>ESSA 많은 추가 견적서 작성</v>
      </c>
      <c r="E7" s="197">
        <f>IFERROR(__xludf.DUMMYFUNCTION("""COMPUTED_VALUE"""),3.0)</f>
        <v>3</v>
      </c>
    </row>
    <row r="8" hidden="1">
      <c r="A8" s="195" t="str">
        <f>IFERROR(__xludf.DUMMYFUNCTION("""COMPUTED_VALUE"""),"손민창 (Son, MinChang)")</f>
        <v>손민창 (Son, MinChang)</v>
      </c>
      <c r="B8" s="196">
        <f>IFERROR(__xludf.DUMMYFUNCTION("""COMPUTED_VALUE"""),45430.34978009259)</f>
        <v>45430.34978</v>
      </c>
      <c r="C8" s="197" t="str">
        <f>IFERROR(__xludf.DUMMYFUNCTION("""COMPUTED_VALUE"""),"300.Thuy")</f>
        <v>300.Thuy</v>
      </c>
      <c r="D8" s="197" t="str">
        <f>IFERROR(__xludf.DUMMYFUNCTION("""COMPUTED_VALUE"""),"사진찍고 퇴근")</f>
        <v>사진찍고 퇴근</v>
      </c>
      <c r="E8" s="197">
        <f>IFERROR(__xludf.DUMMYFUNCTION("""COMPUTED_VALUE"""),1.0)</f>
        <v>1</v>
      </c>
    </row>
    <row r="9" hidden="1">
      <c r="A9" s="195" t="str">
        <f>IFERROR(__xludf.DUMMYFUNCTION("""COMPUTED_VALUE"""),"손민창 (Son, MinChang)")</f>
        <v>손민창 (Son, MinChang)</v>
      </c>
      <c r="B9" s="196">
        <f>IFERROR(__xludf.DUMMYFUNCTION("""COMPUTED_VALUE"""),45427.37333333334)</f>
        <v>45427.37333</v>
      </c>
      <c r="C9" s="197" t="str">
        <f>IFERROR(__xludf.DUMMYFUNCTION("""COMPUTED_VALUE"""),"VPA.Trang")</f>
        <v>VPA.Trang</v>
      </c>
      <c r="D9" s="197" t="str">
        <f>IFERROR(__xludf.DUMMYFUNCTION("""COMPUTED_VALUE"""),"퇴근시 전등확인")</f>
        <v>퇴근시 전등확인</v>
      </c>
      <c r="E9" s="197">
        <f>IFERROR(__xludf.DUMMYFUNCTION("""COMPUTED_VALUE"""),1.0)</f>
        <v>1</v>
      </c>
    </row>
    <row r="10" hidden="1">
      <c r="A10" s="195" t="str">
        <f>IFERROR(__xludf.DUMMYFUNCTION("""COMPUTED_VALUE"""),"손민창 (Son, MinChang)")</f>
        <v>손민창 (Son, MinChang)</v>
      </c>
      <c r="B10" s="196">
        <f>IFERROR(__xludf.DUMMYFUNCTION("""COMPUTED_VALUE"""),45392.489641203705)</f>
        <v>45392.48964</v>
      </c>
      <c r="C10" s="197" t="str">
        <f>IFERROR(__xludf.DUMMYFUNCTION("""COMPUTED_VALUE"""),"VPA.Trang")</f>
        <v>VPA.Trang</v>
      </c>
      <c r="D10" s="197" t="str">
        <f>IFERROR(__xludf.DUMMYFUNCTION("""COMPUTED_VALUE"""),"인테리어 에어콘 전원 이동")</f>
        <v>인테리어 에어콘 전원 이동</v>
      </c>
      <c r="E10" s="197">
        <f>IFERROR(__xludf.DUMMYFUNCTION("""COMPUTED_VALUE"""),1.0)</f>
        <v>1</v>
      </c>
    </row>
    <row r="11" hidden="1">
      <c r="A11" s="195" t="str">
        <f>IFERROR(__xludf.DUMMYFUNCTION("""COMPUTED_VALUE"""),"손민창 (Son, MinChang)")</f>
        <v>손민창 (Son, MinChang)</v>
      </c>
      <c r="B11" s="196">
        <f>IFERROR(__xludf.DUMMYFUNCTION("""COMPUTED_VALUE"""),45388.42953703704)</f>
        <v>45388.42954</v>
      </c>
      <c r="C11" s="197" t="str">
        <f>IFERROR(__xludf.DUMMYFUNCTION("""COMPUTED_VALUE"""),"300.Sim")</f>
        <v>300.Sim</v>
      </c>
      <c r="D11" s="197" t="str">
        <f>IFERROR(__xludf.DUMMYFUNCTION("""COMPUTED_VALUE"""),"4월 자금 부족 미보고와 에싸 설계비.미수납")</f>
        <v>4월 자금 부족 미보고와 에싸 설계비.미수납</v>
      </c>
      <c r="E11" s="197">
        <f>IFERROR(__xludf.DUMMYFUNCTION("""COMPUTED_VALUE"""),-3.0)</f>
        <v>-3</v>
      </c>
    </row>
    <row r="12" hidden="1">
      <c r="A12" s="195" t="str">
        <f>IFERROR(__xludf.DUMMYFUNCTION("""COMPUTED_VALUE"""),"손민창 (Son, MinChang)")</f>
        <v>손민창 (Son, MinChang)</v>
      </c>
      <c r="B12" s="196">
        <f>IFERROR(__xludf.DUMMYFUNCTION("""COMPUTED_VALUE"""),45387.53444444444)</f>
        <v>45387.53444</v>
      </c>
      <c r="C12" s="197" t="str">
        <f>IFERROR(__xludf.DUMMYFUNCTION("""COMPUTED_VALUE"""),"ADC.Thuyet")</f>
        <v>ADC.Thuyet</v>
      </c>
      <c r="D12" s="197" t="str">
        <f>IFERROR(__xludf.DUMMYFUNCTION("""COMPUTED_VALUE"""),"하청업체.자료 세금 13% 로 조정 ")</f>
        <v>하청업체.자료 세금 13% 로 조정 </v>
      </c>
      <c r="E12" s="197">
        <f>IFERROR(__xludf.DUMMYFUNCTION("""COMPUTED_VALUE"""),3.0)</f>
        <v>3</v>
      </c>
    </row>
    <row r="13" hidden="1">
      <c r="A13" s="195" t="str">
        <f>IFERROR(__xludf.DUMMYFUNCTION("""COMPUTED_VALUE"""),"손민창 (Son, MinChang)")</f>
        <v>손민창 (Son, MinChang)</v>
      </c>
      <c r="B13" s="196">
        <f>IFERROR(__xludf.DUMMYFUNCTION("""COMPUTED_VALUE"""),45387.53396990741)</f>
        <v>45387.53397</v>
      </c>
      <c r="C13" s="197" t="str">
        <f>IFERROR(__xludf.DUMMYFUNCTION("""COMPUTED_VALUE"""),"300.Thuy")</f>
        <v>300.Thuy</v>
      </c>
      <c r="D13" s="197" t="str">
        <f>IFERROR(__xludf.DUMMYFUNCTION("""COMPUTED_VALUE"""),"주간보고 작성 안함")</f>
        <v>주간보고 작성 안함</v>
      </c>
      <c r="E13" s="197">
        <f>IFERROR(__xludf.DUMMYFUNCTION("""COMPUTED_VALUE"""),-1.0)</f>
        <v>-1</v>
      </c>
    </row>
    <row r="14" hidden="1">
      <c r="A14" s="195" t="str">
        <f>IFERROR(__xludf.DUMMYFUNCTION("""COMPUTED_VALUE"""),"손민창 (Son, MinChang)")</f>
        <v>손민창 (Son, MinChang)</v>
      </c>
      <c r="B14" s="196">
        <f>IFERROR(__xludf.DUMMYFUNCTION("""COMPUTED_VALUE"""),45387.5333912037)</f>
        <v>45387.53339</v>
      </c>
      <c r="C14" s="197" t="str">
        <f>IFERROR(__xludf.DUMMYFUNCTION("""COMPUTED_VALUE"""),"300.Sim")</f>
        <v>300.Sim</v>
      </c>
      <c r="D14" s="197" t="str">
        <f>IFERROR(__xludf.DUMMYFUNCTION("""COMPUTED_VALUE"""),"주간보고 작성 안함")</f>
        <v>주간보고 작성 안함</v>
      </c>
      <c r="E14" s="197">
        <f>IFERROR(__xludf.DUMMYFUNCTION("""COMPUTED_VALUE"""),-1.0)</f>
        <v>-1</v>
      </c>
    </row>
    <row r="15" hidden="1">
      <c r="A15" s="195" t="str">
        <f>IFERROR(__xludf.DUMMYFUNCTION("""COMPUTED_VALUE"""),"손민창 (Son, MinChang)")</f>
        <v>손민창 (Son, MinChang)</v>
      </c>
      <c r="B15" s="196">
        <f>IFERROR(__xludf.DUMMYFUNCTION("""COMPUTED_VALUE"""),45384.66736111111)</f>
        <v>45384.66736</v>
      </c>
      <c r="C15" s="197" t="str">
        <f>IFERROR(__xludf.DUMMYFUNCTION("""COMPUTED_VALUE"""),"VPA.Duong")</f>
        <v>VPA.Duong</v>
      </c>
      <c r="D15" s="197" t="str">
        <f>IFERROR(__xludf.DUMMYFUNCTION("""COMPUTED_VALUE"""),"Mik 보고서")</f>
        <v>Mik 보고서</v>
      </c>
      <c r="E15" s="197">
        <f>IFERROR(__xludf.DUMMYFUNCTION("""COMPUTED_VALUE"""),1.0)</f>
        <v>1</v>
      </c>
    </row>
    <row r="16" hidden="1">
      <c r="A16" s="195" t="str">
        <f>IFERROR(__xludf.DUMMYFUNCTION("""COMPUTED_VALUE"""),"손민창 (Son, MinChang)")</f>
        <v>손민창 (Son, MinChang)</v>
      </c>
      <c r="B16" s="196">
        <f>IFERROR(__xludf.DUMMYFUNCTION("""COMPUTED_VALUE"""),45357.36881944445)</f>
        <v>45357.36882</v>
      </c>
      <c r="C16" s="197" t="str">
        <f>IFERROR(__xludf.DUMMYFUNCTION("""COMPUTED_VALUE"""),"300.Thuy")</f>
        <v>300.Thuy</v>
      </c>
      <c r="D16" s="197" t="str">
        <f>IFERROR(__xludf.DUMMYFUNCTION("""COMPUTED_VALUE"""),"칼렌더운영")</f>
        <v>칼렌더운영</v>
      </c>
      <c r="E16" s="197">
        <f>IFERROR(__xludf.DUMMYFUNCTION("""COMPUTED_VALUE"""),1.0)</f>
        <v>1</v>
      </c>
    </row>
    <row r="17" hidden="1">
      <c r="A17" s="195" t="str">
        <f>IFERROR(__xludf.DUMMYFUNCTION("""COMPUTED_VALUE"""),"손민창 (Son, MinChang)")</f>
        <v>손민창 (Son, MinChang)</v>
      </c>
      <c r="B17" s="196">
        <f>IFERROR(__xludf.DUMMYFUNCTION("""COMPUTED_VALUE"""),45357.36814814815)</f>
        <v>45357.36815</v>
      </c>
      <c r="C17" s="197" t="str">
        <f>IFERROR(__xludf.DUMMYFUNCTION("""COMPUTED_VALUE"""),"300.Sim")</f>
        <v>300.Sim</v>
      </c>
      <c r="D17" s="197" t="str">
        <f>IFERROR(__xludf.DUMMYFUNCTION("""COMPUTED_VALUE"""),"칼렌더운영")</f>
        <v>칼렌더운영</v>
      </c>
      <c r="E17" s="197">
        <f>IFERROR(__xludf.DUMMYFUNCTION("""COMPUTED_VALUE"""),1.0)</f>
        <v>1</v>
      </c>
    </row>
    <row r="18" hidden="1">
      <c r="A18" s="195" t="str">
        <f>IFERROR(__xludf.DUMMYFUNCTION("""COMPUTED_VALUE"""),"손민창 (Son, MinChang)")</f>
        <v>손민창 (Son, MinChang)</v>
      </c>
      <c r="B18" s="196">
        <f>IFERROR(__xludf.DUMMYFUNCTION("""COMPUTED_VALUE"""),45338.68724537037)</f>
        <v>45338.68725</v>
      </c>
      <c r="C18" s="197" t="str">
        <f>IFERROR(__xludf.DUMMYFUNCTION("""COMPUTED_VALUE"""),"300.Thuy")</f>
        <v>300.Thuy</v>
      </c>
      <c r="D18" s="197" t="str">
        <f>IFERROR(__xludf.DUMMYFUNCTION("""COMPUTED_VALUE"""),"Ai")</f>
        <v>Ai</v>
      </c>
      <c r="E18" s="197">
        <f>IFERROR(__xludf.DUMMYFUNCTION("""COMPUTED_VALUE"""),1.0)</f>
        <v>1</v>
      </c>
    </row>
    <row r="19" hidden="1">
      <c r="A19" s="195" t="str">
        <f>IFERROR(__xludf.DUMMYFUNCTION("""COMPUTED_VALUE"""),"손민창 (Son, MinChang)")</f>
        <v>손민창 (Son, MinChang)</v>
      </c>
      <c r="B19" s="196">
        <f>IFERROR(__xludf.DUMMYFUNCTION("""COMPUTED_VALUE"""),45338.68680555555)</f>
        <v>45338.68681</v>
      </c>
      <c r="C19" s="197" t="str">
        <f>IFERROR(__xludf.DUMMYFUNCTION("""COMPUTED_VALUE"""),"300.Sim")</f>
        <v>300.Sim</v>
      </c>
      <c r="D19" s="197" t="str">
        <f>IFERROR(__xludf.DUMMYFUNCTION("""COMPUTED_VALUE"""),"Ai")</f>
        <v>Ai</v>
      </c>
      <c r="E19" s="197">
        <f>IFERROR(__xludf.DUMMYFUNCTION("""COMPUTED_VALUE"""),1.0)</f>
        <v>1</v>
      </c>
    </row>
    <row r="20" hidden="1">
      <c r="A20" s="195" t="str">
        <f>IFERROR(__xludf.DUMMYFUNCTION("""COMPUTED_VALUE"""),"손민창 (Son, MinChang)")</f>
        <v>손민창 (Son, MinChang)</v>
      </c>
      <c r="B20" s="196">
        <f>IFERROR(__xludf.DUMMYFUNCTION("""COMPUTED_VALUE"""),45325.35569444444)</f>
        <v>45325.35569</v>
      </c>
      <c r="C20" s="197" t="str">
        <f>IFERROR(__xludf.DUMMYFUNCTION("""COMPUTED_VALUE"""),"300.Thuy")</f>
        <v>300.Thuy</v>
      </c>
      <c r="D20" s="197" t="str">
        <f>IFERROR(__xludf.DUMMYFUNCTION("""COMPUTED_VALUE"""),"칼렌더")</f>
        <v>칼렌더</v>
      </c>
      <c r="E20" s="197">
        <f>IFERROR(__xludf.DUMMYFUNCTION("""COMPUTED_VALUE"""),-1.0)</f>
        <v>-1</v>
      </c>
    </row>
    <row r="21" hidden="1">
      <c r="A21" s="195" t="str">
        <f>IFERROR(__xludf.DUMMYFUNCTION("""COMPUTED_VALUE"""),"손민창 (Son, MinChang)")</f>
        <v>손민창 (Son, MinChang)</v>
      </c>
      <c r="B21" s="196">
        <f>IFERROR(__xludf.DUMMYFUNCTION("""COMPUTED_VALUE"""),45325.35534722222)</f>
        <v>45325.35535</v>
      </c>
      <c r="C21" s="197" t="str">
        <f>IFERROR(__xludf.DUMMYFUNCTION("""COMPUTED_VALUE"""),"300.Sim")</f>
        <v>300.Sim</v>
      </c>
      <c r="D21" s="197" t="str">
        <f>IFERROR(__xludf.DUMMYFUNCTION("""COMPUTED_VALUE"""),"칼렌더")</f>
        <v>칼렌더</v>
      </c>
      <c r="E21" s="197">
        <f>IFERROR(__xludf.DUMMYFUNCTION("""COMPUTED_VALUE"""),-1.0)</f>
        <v>-1</v>
      </c>
    </row>
    <row r="22" hidden="1">
      <c r="A22" s="195" t="str">
        <f>IFERROR(__xludf.DUMMYFUNCTION("""COMPUTED_VALUE"""),"손민창 (Son, MinChang)")</f>
        <v>손민창 (Son, MinChang)</v>
      </c>
      <c r="B22" s="196">
        <f>IFERROR(__xludf.DUMMYFUNCTION("""COMPUTED_VALUE"""),45322.3047337963)</f>
        <v>45322.30473</v>
      </c>
      <c r="C22" s="197" t="str">
        <f>IFERROR(__xludf.DUMMYFUNCTION("""COMPUTED_VALUE"""),"100.Hieu")</f>
        <v>100.Hieu</v>
      </c>
      <c r="D22" s="197" t="str">
        <f>IFERROR(__xludf.DUMMYFUNCTION("""COMPUTED_VALUE"""),"파티 청소까지")</f>
        <v>파티 청소까지</v>
      </c>
      <c r="E22" s="197">
        <f>IFERROR(__xludf.DUMMYFUNCTION("""COMPUTED_VALUE"""),2.0)</f>
        <v>2</v>
      </c>
    </row>
    <row r="23" hidden="1">
      <c r="A23" s="195" t="str">
        <f>IFERROR(__xludf.DUMMYFUNCTION("""COMPUTED_VALUE"""),"손민창 (Son, MinChang)")</f>
        <v>손민창 (Son, MinChang)</v>
      </c>
      <c r="B23" s="196">
        <f>IFERROR(__xludf.DUMMYFUNCTION("""COMPUTED_VALUE"""),45321.87472222222)</f>
        <v>45321.87472</v>
      </c>
      <c r="C23" s="197" t="str">
        <f>IFERROR(__xludf.DUMMYFUNCTION("""COMPUTED_VALUE"""),"300.Thuy")</f>
        <v>300.Thuy</v>
      </c>
      <c r="D23" s="197" t="str">
        <f>IFERROR(__xludf.DUMMYFUNCTION("""COMPUTED_VALUE"""),"화계 3년 할인 ")</f>
        <v>화계 3년 할인 </v>
      </c>
      <c r="E23" s="197">
        <f>IFERROR(__xludf.DUMMYFUNCTION("""COMPUTED_VALUE"""),2.0)</f>
        <v>2</v>
      </c>
    </row>
    <row r="24" hidden="1">
      <c r="A24" s="195" t="str">
        <f>IFERROR(__xludf.DUMMYFUNCTION("""COMPUTED_VALUE"""),"손민창 (Son, MinChang)")</f>
        <v>손민창 (Son, MinChang)</v>
      </c>
      <c r="B24" s="196">
        <f>IFERROR(__xludf.DUMMYFUNCTION("""COMPUTED_VALUE"""),45315.38380787037)</f>
        <v>45315.38381</v>
      </c>
      <c r="C24" s="197" t="str">
        <f>IFERROR(__xludf.DUMMYFUNCTION("""COMPUTED_VALUE"""),"500.Tam")</f>
        <v>500.Tam</v>
      </c>
      <c r="D24" s="197" t="str">
        <f>IFERROR(__xludf.DUMMYFUNCTION("""COMPUTED_VALUE"""),"즈엉  일일보고 작성 않함")</f>
        <v>즈엉  일일보고 작성 않함</v>
      </c>
      <c r="E24" s="197">
        <f>IFERROR(__xludf.DUMMYFUNCTION("""COMPUTED_VALUE"""),-1.0)</f>
        <v>-1</v>
      </c>
    </row>
    <row r="25" hidden="1">
      <c r="A25" s="195" t="str">
        <f>IFERROR(__xludf.DUMMYFUNCTION("""COMPUTED_VALUE"""),"손민창 (Son, MinChang)")</f>
        <v>손민창 (Son, MinChang)</v>
      </c>
      <c r="B25" s="196">
        <f>IFERROR(__xludf.DUMMYFUNCTION("""COMPUTED_VALUE"""),45314.42652777778)</f>
        <v>45314.42653</v>
      </c>
      <c r="C25" s="197" t="str">
        <f>IFERROR(__xludf.DUMMYFUNCTION("""COMPUTED_VALUE"""),"ADC.Thuyet")</f>
        <v>ADC.Thuyet</v>
      </c>
      <c r="D25" s="197" t="str">
        <f>IFERROR(__xludf.DUMMYFUNCTION("""COMPUTED_VALUE"""),"현장 사진 잘직어보고함")</f>
        <v>현장 사진 잘직어보고함</v>
      </c>
      <c r="E25" s="197">
        <f>IFERROR(__xludf.DUMMYFUNCTION("""COMPUTED_VALUE"""),3.0)</f>
        <v>3</v>
      </c>
    </row>
    <row r="26" hidden="1">
      <c r="A26" s="195" t="str">
        <f>IFERROR(__xludf.DUMMYFUNCTION("""COMPUTED_VALUE"""),"손민창 (Son, MinChang)")</f>
        <v>손민창 (Son, MinChang)</v>
      </c>
      <c r="B26" s="196">
        <f>IFERROR(__xludf.DUMMYFUNCTION("""COMPUTED_VALUE"""),45314.42605324074)</f>
        <v>45314.42605</v>
      </c>
      <c r="C26" s="197" t="str">
        <f>IFERROR(__xludf.DUMMYFUNCTION("""COMPUTED_VALUE"""),"TYM.Kien")</f>
        <v>TYM.Kien</v>
      </c>
      <c r="D26" s="197" t="str">
        <f>IFERROR(__xludf.DUMMYFUNCTION("""COMPUTED_VALUE"""),"간판 빨리 만듬")</f>
        <v>간판 빨리 만듬</v>
      </c>
      <c r="E26" s="197">
        <f>IFERROR(__xludf.DUMMYFUNCTION("""COMPUTED_VALUE"""),1.0)</f>
        <v>1</v>
      </c>
    </row>
    <row r="27" hidden="1">
      <c r="A27" s="195" t="str">
        <f>IFERROR(__xludf.DUMMYFUNCTION("""COMPUTED_VALUE"""),"손민창 (Son, MinChang)")</f>
        <v>손민창 (Son, MinChang)</v>
      </c>
      <c r="B27" s="196">
        <f>IFERROR(__xludf.DUMMYFUNCTION("""COMPUTED_VALUE"""),45308.46449074074)</f>
        <v>45308.46449</v>
      </c>
      <c r="C27" s="197" t="str">
        <f>IFERROR(__xludf.DUMMYFUNCTION("""COMPUTED_VALUE"""),"300.Sim")</f>
        <v>300.Sim</v>
      </c>
      <c r="D27" s="197" t="str">
        <f>IFERROR(__xludf.DUMMYFUNCTION("""COMPUTED_VALUE"""),"25할인")</f>
        <v>25할인</v>
      </c>
      <c r="E27" s="197">
        <f>IFERROR(__xludf.DUMMYFUNCTION("""COMPUTED_VALUE"""),1.0)</f>
        <v>1</v>
      </c>
    </row>
    <row r="28" hidden="1">
      <c r="A28" s="195" t="str">
        <f>IFERROR(__xludf.DUMMYFUNCTION("""COMPUTED_VALUE"""),"손민창 (Son, MinChang)")</f>
        <v>손민창 (Son, MinChang)</v>
      </c>
      <c r="B28" s="196">
        <f>IFERROR(__xludf.DUMMYFUNCTION("""COMPUTED_VALUE"""),45280.57016203704)</f>
        <v>45280.57016</v>
      </c>
      <c r="C28" s="197" t="str">
        <f>IFERROR(__xludf.DUMMYFUNCTION("""COMPUTED_VALUE"""),"300.Thuy")</f>
        <v>300.Thuy</v>
      </c>
      <c r="D28" s="197" t="str">
        <f>IFERROR(__xludf.DUMMYFUNCTION("""COMPUTED_VALUE"""),"행아웃 매뉴얼 숙지 미흡")</f>
        <v>행아웃 매뉴얼 숙지 미흡</v>
      </c>
      <c r="E28" s="197">
        <f>IFERROR(__xludf.DUMMYFUNCTION("""COMPUTED_VALUE"""),-1.0)</f>
        <v>-1</v>
      </c>
    </row>
    <row r="29" hidden="1">
      <c r="A29" s="195" t="str">
        <f>IFERROR(__xludf.DUMMYFUNCTION("""COMPUTED_VALUE"""),"손민창 (Son, MinChang)")</f>
        <v>손민창 (Son, MinChang)</v>
      </c>
      <c r="B29" s="196">
        <f>IFERROR(__xludf.DUMMYFUNCTION("""COMPUTED_VALUE"""),45280.56972222222)</f>
        <v>45280.56972</v>
      </c>
      <c r="C29" s="197" t="str">
        <f>IFERROR(__xludf.DUMMYFUNCTION("""COMPUTED_VALUE"""),"300.Sim")</f>
        <v>300.Sim</v>
      </c>
      <c r="D29" s="197" t="str">
        <f>IFERROR(__xludf.DUMMYFUNCTION("""COMPUTED_VALUE"""),"행아웃 매뉴얼 숙지 미흡")</f>
        <v>행아웃 매뉴얼 숙지 미흡</v>
      </c>
      <c r="E29" s="197">
        <f>IFERROR(__xludf.DUMMYFUNCTION("""COMPUTED_VALUE"""),-1.0)</f>
        <v>-1</v>
      </c>
    </row>
    <row r="30" hidden="1">
      <c r="A30" s="195" t="str">
        <f>IFERROR(__xludf.DUMMYFUNCTION("""COMPUTED_VALUE"""),"손민창 (Son, MinChang)")</f>
        <v>손민창 (Son, MinChang)</v>
      </c>
      <c r="B30" s="196">
        <f>IFERROR(__xludf.DUMMYFUNCTION("""COMPUTED_VALUE"""),45238.64907407408)</f>
        <v>45238.64907</v>
      </c>
      <c r="C30" s="197" t="str">
        <f>IFERROR(__xludf.DUMMYFUNCTION("""COMPUTED_VALUE"""),"500.Tam")</f>
        <v>500.Tam</v>
      </c>
      <c r="D30" s="197" t="str">
        <f>IFERROR(__xludf.DUMMYFUNCTION("""COMPUTED_VALUE"""),"유토 견적 잘냄")</f>
        <v>유토 견적 잘냄</v>
      </c>
      <c r="E30" s="197">
        <f>IFERROR(__xludf.DUMMYFUNCTION("""COMPUTED_VALUE"""),3.0)</f>
        <v>3</v>
      </c>
    </row>
    <row r="31" hidden="1">
      <c r="A31" s="195" t="str">
        <f>IFERROR(__xludf.DUMMYFUNCTION("""COMPUTED_VALUE"""),"손민창 (Son, MinChang)")</f>
        <v>손민창 (Son, MinChang)</v>
      </c>
      <c r="B31" s="196">
        <f>IFERROR(__xludf.DUMMYFUNCTION("""COMPUTED_VALUE"""),45148.71444444444)</f>
        <v>45148.71444</v>
      </c>
      <c r="C31" s="197" t="str">
        <f>IFERROR(__xludf.DUMMYFUNCTION("""COMPUTED_VALUE"""),"500.Tam")</f>
        <v>500.Tam</v>
      </c>
      <c r="D31" s="197" t="str">
        <f>IFERROR(__xludf.DUMMYFUNCTION("""COMPUTED_VALUE"""),"주간 업무 보고")</f>
        <v>주간 업무 보고</v>
      </c>
      <c r="E31" s="197">
        <f>IFERROR(__xludf.DUMMYFUNCTION("""COMPUTED_VALUE"""),1.0)</f>
        <v>1</v>
      </c>
    </row>
    <row r="32" hidden="1">
      <c r="A32" s="195" t="str">
        <f>IFERROR(__xludf.DUMMYFUNCTION("""COMPUTED_VALUE"""),"손민창 (Son, MinChang)")</f>
        <v>손민창 (Son, MinChang)</v>
      </c>
      <c r="B32" s="196">
        <f>IFERROR(__xludf.DUMMYFUNCTION("""COMPUTED_VALUE"""),45148.31638888889)</f>
        <v>45148.31639</v>
      </c>
      <c r="C32" s="197" t="str">
        <f>IFERROR(__xludf.DUMMYFUNCTION("""COMPUTED_VALUE"""),"VPA.Duong")</f>
        <v>VPA.Duong</v>
      </c>
      <c r="D32" s="197" t="str">
        <f>IFERROR(__xludf.DUMMYFUNCTION("""COMPUTED_VALUE"""),"Flc")</f>
        <v>Flc</v>
      </c>
      <c r="E32" s="197">
        <f>IFERROR(__xludf.DUMMYFUNCTION("""COMPUTED_VALUE"""),1.0)</f>
        <v>1</v>
      </c>
    </row>
    <row r="33" hidden="1">
      <c r="A33" s="195" t="str">
        <f>IFERROR(__xludf.DUMMYFUNCTION("""COMPUTED_VALUE"""),"손민창 (Son, MinChang)")</f>
        <v>손민창 (Son, MinChang)</v>
      </c>
      <c r="B33" s="196">
        <f>IFERROR(__xludf.DUMMYFUNCTION("""COMPUTED_VALUE"""),45092.41585648148)</f>
        <v>45092.41586</v>
      </c>
      <c r="C33" s="197" t="str">
        <f>IFERROR(__xludf.DUMMYFUNCTION("""COMPUTED_VALUE"""),"ADC.Thuyet")</f>
        <v>ADC.Thuyet</v>
      </c>
      <c r="D33" s="197" t="str">
        <f>IFERROR(__xludf.DUMMYFUNCTION("""COMPUTED_VALUE"""),"현장 박장 소방 견적")</f>
        <v>현장 박장 소방 견적</v>
      </c>
      <c r="E33" s="197">
        <f>IFERROR(__xludf.DUMMYFUNCTION("""COMPUTED_VALUE"""),2.0)</f>
        <v>2</v>
      </c>
    </row>
    <row r="34" hidden="1">
      <c r="A34" s="195" t="str">
        <f>IFERROR(__xludf.DUMMYFUNCTION("""COMPUTED_VALUE"""),"손민창 (Son, MinChang)")</f>
        <v>손민창 (Son, MinChang)</v>
      </c>
      <c r="B34" s="196">
        <f>IFERROR(__xludf.DUMMYFUNCTION("""COMPUTED_VALUE"""),45092.41474537037)</f>
        <v>45092.41475</v>
      </c>
      <c r="C34" s="197" t="str">
        <f>IFERROR(__xludf.DUMMYFUNCTION("""COMPUTED_VALUE"""),"500.Tam")</f>
        <v>500.Tam</v>
      </c>
      <c r="D34" s="197" t="str">
        <f>IFERROR(__xludf.DUMMYFUNCTION("""COMPUTED_VALUE"""),"협력업채 등록")</f>
        <v>협력업채 등록</v>
      </c>
      <c r="E34" s="197">
        <f>IFERROR(__xludf.DUMMYFUNCTION("""COMPUTED_VALUE"""),1.0)</f>
        <v>1</v>
      </c>
    </row>
    <row r="35" hidden="1">
      <c r="A35" s="195" t="str">
        <f>IFERROR(__xludf.DUMMYFUNCTION("""COMPUTED_VALUE"""),"손민창 (Son, MinChang)")</f>
        <v>손민창 (Son, MinChang)</v>
      </c>
      <c r="B35" s="196">
        <f>IFERROR(__xludf.DUMMYFUNCTION("""COMPUTED_VALUE"""),45092.414247685185)</f>
        <v>45092.41425</v>
      </c>
      <c r="C35" s="197" t="str">
        <f>IFERROR(__xludf.DUMMYFUNCTION("""COMPUTED_VALUE"""),"VPA.Duong")</f>
        <v>VPA.Duong</v>
      </c>
      <c r="D35" s="197" t="str">
        <f>IFERROR(__xludf.DUMMYFUNCTION("""COMPUTED_VALUE"""),"Flc concept")</f>
        <v>Flc concept</v>
      </c>
      <c r="E35" s="197">
        <f>IFERROR(__xludf.DUMMYFUNCTION("""COMPUTED_VALUE"""),1.0)</f>
        <v>1</v>
      </c>
    </row>
    <row r="36" hidden="1">
      <c r="A36" s="195" t="str">
        <f>IFERROR(__xludf.DUMMYFUNCTION("""COMPUTED_VALUE"""),"손민창 (Son, MinChang)")</f>
        <v>손민창 (Son, MinChang)</v>
      </c>
      <c r="B36" s="196">
        <f>IFERROR(__xludf.DUMMYFUNCTION("""COMPUTED_VALUE"""),45017.602627314816)</f>
        <v>45017.60263</v>
      </c>
      <c r="C36" s="197" t="str">
        <f>IFERROR(__xludf.DUMMYFUNCTION("""COMPUTED_VALUE"""),"100.Hieu")</f>
        <v>100.Hieu</v>
      </c>
      <c r="D36" s="197" t="str">
        <f>IFERROR(__xludf.DUMMYFUNCTION("""COMPUTED_VALUE"""),"3.31 행사 잘함")</f>
        <v>3.31 행사 잘함</v>
      </c>
      <c r="E36" s="197">
        <f>IFERROR(__xludf.DUMMYFUNCTION("""COMPUTED_VALUE"""),1.0)</f>
        <v>1</v>
      </c>
    </row>
    <row r="37" hidden="1">
      <c r="A37" s="195" t="str">
        <f>IFERROR(__xludf.DUMMYFUNCTION("""COMPUTED_VALUE"""),"손민창 (Son, MinChang)")</f>
        <v>손민창 (Son, MinChang)</v>
      </c>
      <c r="B37" s="196">
        <f>IFERROR(__xludf.DUMMYFUNCTION("""COMPUTED_VALUE"""),45472.879699074074)</f>
        <v>45472.8797</v>
      </c>
      <c r="C37" s="197" t="str">
        <f>IFERROR(__xludf.DUMMYFUNCTION("""COMPUTED_VALUE"""),"ADC.Thuyet")</f>
        <v>ADC.Thuyet</v>
      </c>
      <c r="D37" s="197" t="str">
        <f>IFERROR(__xludf.DUMMYFUNCTION("""COMPUTED_VALUE"""),"판넬 업무 정확히 잘함")</f>
        <v>판넬 업무 정확히 잘함</v>
      </c>
      <c r="E37" s="197">
        <f>IFERROR(__xludf.DUMMYFUNCTION("""COMPUTED_VALUE"""),5.0)</f>
        <v>5</v>
      </c>
    </row>
    <row r="38" hidden="1">
      <c r="A38" s="195" t="str">
        <f>IFERROR(__xludf.DUMMYFUNCTION("""COMPUTED_VALUE"""),"손민창 (Son, MinChang)")</f>
        <v>손민창 (Son, MinChang)</v>
      </c>
      <c r="B38" s="196">
        <f>IFERROR(__xludf.DUMMYFUNCTION("""COMPUTED_VALUE"""),45474.64387731482)</f>
        <v>45474.64388</v>
      </c>
      <c r="C38" s="197" t="str">
        <f>IFERROR(__xludf.DUMMYFUNCTION("""COMPUTED_VALUE"""),"500.Tam")</f>
        <v>500.Tam</v>
      </c>
      <c r="D38" s="197" t="str">
        <f>IFERROR(__xludf.DUMMYFUNCTION("""COMPUTED_VALUE"""),"한비엣 보고서")</f>
        <v>한비엣 보고서</v>
      </c>
      <c r="E38" s="197">
        <f>IFERROR(__xludf.DUMMYFUNCTION("""COMPUTED_VALUE"""),1.0)</f>
        <v>1</v>
      </c>
    </row>
    <row r="39" hidden="1">
      <c r="A39" s="195" t="str">
        <f>IFERROR(__xludf.DUMMYFUNCTION("""COMPUTED_VALUE"""),"손민창 (Son, MinChang)")</f>
        <v>손민창 (Son, MinChang)</v>
      </c>
      <c r="B39" s="196">
        <f>IFERROR(__xludf.DUMMYFUNCTION("""COMPUTED_VALUE"""),45499.80614583333)</f>
        <v>45499.80615</v>
      </c>
      <c r="C39" s="197" t="str">
        <f>IFERROR(__xludf.DUMMYFUNCTION("""COMPUTED_VALUE"""),"TYM.Kien")</f>
        <v>TYM.Kien</v>
      </c>
      <c r="D39" s="197" t="str">
        <f>IFERROR(__xludf.DUMMYFUNCTION("""COMPUTED_VALUE"""),"일정표 작성 숨기기.사용. 집중하지 않음")</f>
        <v>일정표 작성 숨기기.사용. 집중하지 않음</v>
      </c>
      <c r="E39" s="197">
        <f>IFERROR(__xludf.DUMMYFUNCTION("""COMPUTED_VALUE"""),-3.0)</f>
        <v>-3</v>
      </c>
    </row>
    <row r="40" hidden="1">
      <c r="A40" s="195" t="str">
        <f>IFERROR(__xludf.DUMMYFUNCTION("""COMPUTED_VALUE"""),"손민창 (Son, MinChang)")</f>
        <v>손민창 (Son, MinChang)</v>
      </c>
      <c r="B40" s="196">
        <f>IFERROR(__xludf.DUMMYFUNCTION("""COMPUTED_VALUE"""),45544.76877314815)</f>
        <v>45544.76877</v>
      </c>
      <c r="C40" s="197" t="str">
        <f>IFERROR(__xludf.DUMMYFUNCTION("""COMPUTED_VALUE"""),"ADC.Thuyet")</f>
        <v>ADC.Thuyet</v>
      </c>
      <c r="D40" s="197" t="str">
        <f>IFERROR(__xludf.DUMMYFUNCTION("""COMPUTED_VALUE"""),"태풍 대응")</f>
        <v>태풍 대응</v>
      </c>
      <c r="E40" s="197">
        <f>IFERROR(__xludf.DUMMYFUNCTION("""COMPUTED_VALUE"""),5.0)</f>
        <v>5</v>
      </c>
    </row>
    <row r="41" hidden="1">
      <c r="A41" s="195" t="str">
        <f>IFERROR(__xludf.DUMMYFUNCTION("""COMPUTED_VALUE"""),"손민창 (Son, MinChang)")</f>
        <v>손민창 (Son, MinChang)</v>
      </c>
      <c r="B41" s="196">
        <f>IFERROR(__xludf.DUMMYFUNCTION("""COMPUTED_VALUE"""),45549.78387731482)</f>
        <v>45549.78388</v>
      </c>
      <c r="C41" s="197" t="str">
        <f>IFERROR(__xludf.DUMMYFUNCTION("""COMPUTED_VALUE"""),"300.Sim")</f>
        <v>300.Sim</v>
      </c>
      <c r="D41" s="197" t="str">
        <f>IFERROR(__xludf.DUMMYFUNCTION("""COMPUTED_VALUE"""),"문서 양식")</f>
        <v>문서 양식</v>
      </c>
      <c r="E41" s="197">
        <f>IFERROR(__xludf.DUMMYFUNCTION("""COMPUTED_VALUE"""),-3.0)</f>
        <v>-3</v>
      </c>
    </row>
    <row r="42" hidden="1">
      <c r="A42" s="195" t="str">
        <f>IFERROR(__xludf.DUMMYFUNCTION("""COMPUTED_VALUE"""),"손민창 (Son, MinChang)")</f>
        <v>손민창 (Son, MinChang)</v>
      </c>
      <c r="B42" s="196">
        <f>IFERROR(__xludf.DUMMYFUNCTION("""COMPUTED_VALUE"""),45549.78428240741)</f>
        <v>45549.78428</v>
      </c>
      <c r="C42" s="197" t="str">
        <f>IFERROR(__xludf.DUMMYFUNCTION("""COMPUTED_VALUE"""),"300.Thuy")</f>
        <v>300.Thuy</v>
      </c>
      <c r="D42" s="197" t="str">
        <f>IFERROR(__xludf.DUMMYFUNCTION("""COMPUTED_VALUE"""),"문서양식")</f>
        <v>문서양식</v>
      </c>
      <c r="E42" s="197">
        <f>IFERROR(__xludf.DUMMYFUNCTION("""COMPUTED_VALUE"""),-3.0)</f>
        <v>-3</v>
      </c>
    </row>
    <row r="43" hidden="1">
      <c r="A43" s="198" t="str">
        <f>IFERROR(__xludf.DUMMYFUNCTION("""COMPUTED_VALUE"""),"손민창 (Son, MinChang)")</f>
        <v>손민창 (Son, MinChang)</v>
      </c>
      <c r="B43" s="199">
        <f>IFERROR(__xludf.DUMMYFUNCTION("""COMPUTED_VALUE"""),45599.558344907404)</f>
        <v>45599.55834</v>
      </c>
      <c r="C43" s="22" t="str">
        <f>IFERROR(__xludf.DUMMYFUNCTION("""COMPUTED_VALUE"""),"300.Sim")</f>
        <v>300.Sim</v>
      </c>
      <c r="D43" s="22" t="str">
        <f>IFERROR(__xludf.DUMMYFUNCTION("""COMPUTED_VALUE"""),"프로젝트 수익율 보고안함")</f>
        <v>프로젝트 수익율 보고안함</v>
      </c>
      <c r="E43" s="25">
        <f>IFERROR(__xludf.DUMMYFUNCTION("""COMPUTED_VALUE"""),-1.0)</f>
        <v>-1</v>
      </c>
      <c r="F43" s="22"/>
    </row>
    <row r="44" hidden="1">
      <c r="A44" s="195" t="str">
        <f>IFERROR(__xludf.DUMMYFUNCTION("""COMPUTED_VALUE"""),"손민창 (Son, MinChang)")</f>
        <v>손민창 (Son, MinChang)</v>
      </c>
      <c r="B44" s="196">
        <f>IFERROR(__xludf.DUMMYFUNCTION("""COMPUTED_VALUE"""),45599.55872685185)</f>
        <v>45599.55873</v>
      </c>
      <c r="C44" s="197" t="str">
        <f>IFERROR(__xludf.DUMMYFUNCTION("""COMPUTED_VALUE"""),"300.Thuy")</f>
        <v>300.Thuy</v>
      </c>
      <c r="D44" s="197" t="str">
        <f>IFERROR(__xludf.DUMMYFUNCTION("""COMPUTED_VALUE"""),"프로젝트 수익율 보고")</f>
        <v>프로젝트 수익율 보고</v>
      </c>
      <c r="E44" s="197">
        <f>IFERROR(__xludf.DUMMYFUNCTION("""COMPUTED_VALUE"""),-1.0)</f>
        <v>-1</v>
      </c>
    </row>
    <row r="45" hidden="1">
      <c r="A45" s="195" t="str">
        <f>IFERROR(__xludf.DUMMYFUNCTION("""COMPUTED_VALUE"""),"손민창 (Son, MinChang)")</f>
        <v>손민창 (Son, MinChang)</v>
      </c>
      <c r="B45" s="196">
        <f>IFERROR(__xludf.DUMMYFUNCTION("""COMPUTED_VALUE"""),45608.34925925926)</f>
        <v>45608.34926</v>
      </c>
      <c r="C45" s="197" t="str">
        <f>IFERROR(__xludf.DUMMYFUNCTION("""COMPUTED_VALUE"""),"VPA.Trang")</f>
        <v>VPA.Trang</v>
      </c>
      <c r="D45" s="197" t="str">
        <f>IFERROR(__xludf.DUMMYFUNCTION("""COMPUTED_VALUE"""),"주간 업무 보고")</f>
        <v>주간 업무 보고</v>
      </c>
      <c r="E45" s="197">
        <f>IFERROR(__xludf.DUMMYFUNCTION("""COMPUTED_VALUE"""),4.0)</f>
        <v>4</v>
      </c>
    </row>
    <row r="46" hidden="1">
      <c r="A46" s="195" t="str">
        <f>IFERROR(__xludf.DUMMYFUNCTION("""COMPUTED_VALUE"""),"손민창 (Son, MinChang)")</f>
        <v>손민창 (Son, MinChang)</v>
      </c>
      <c r="B46" s="196">
        <f>IFERROR(__xludf.DUMMYFUNCTION("""COMPUTED_VALUE"""),45610.84396990741)</f>
        <v>45610.84397</v>
      </c>
      <c r="C46" s="197" t="str">
        <f>IFERROR(__xludf.DUMMYFUNCTION("""COMPUTED_VALUE"""),"TYM.Kien")</f>
        <v>TYM.Kien</v>
      </c>
      <c r="D46" s="197" t="str">
        <f>IFERROR(__xludf.DUMMYFUNCTION("""COMPUTED_VALUE"""),"문서 권한 실수")</f>
        <v>문서 권한 실수</v>
      </c>
      <c r="E46" s="197">
        <f>IFERROR(__xludf.DUMMYFUNCTION("""COMPUTED_VALUE"""),-1.0)</f>
        <v>-1</v>
      </c>
    </row>
    <row r="47" hidden="1">
      <c r="A47" s="195" t="str">
        <f>IFERROR(__xludf.DUMMYFUNCTION("""COMPUTED_VALUE"""),"손민창 (Son, MinChang)")</f>
        <v>손민창 (Son, MinChang)</v>
      </c>
      <c r="B47" s="196">
        <f>IFERROR(__xludf.DUMMYFUNCTION("""COMPUTED_VALUE"""),45636.38636574074)</f>
        <v>45636.38637</v>
      </c>
      <c r="C47" s="197" t="str">
        <f>IFERROR(__xludf.DUMMYFUNCTION("""COMPUTED_VALUE"""),"500.Tam")</f>
        <v>500.Tam</v>
      </c>
      <c r="D47" s="197" t="str">
        <f>IFERROR(__xludf.DUMMYFUNCTION("""COMPUTED_VALUE"""),"액셀 문서정리")</f>
        <v>액셀 문서정리</v>
      </c>
      <c r="E47" s="197">
        <f>IFERROR(__xludf.DUMMYFUNCTION("""COMPUTED_VALUE"""),-2.0)</f>
        <v>-2</v>
      </c>
    </row>
    <row r="48" hidden="1">
      <c r="A48" s="195" t="str">
        <f>IFERROR(__xludf.DUMMYFUNCTION("""COMPUTED_VALUE"""),"손민창 (Son, MinChang)")</f>
        <v>손민창 (Son, MinChang)</v>
      </c>
      <c r="B48" s="196">
        <f>IFERROR(__xludf.DUMMYFUNCTION("""COMPUTED_VALUE"""),45653.731099537035)</f>
        <v>45653.7311</v>
      </c>
      <c r="C48" s="197" t="str">
        <f>IFERROR(__xludf.DUMMYFUNCTION("""COMPUTED_VALUE"""),"300.Sim")</f>
        <v>300.Sim</v>
      </c>
      <c r="D48" s="197" t="str">
        <f>IFERROR(__xludf.DUMMYFUNCTION("""COMPUTED_VALUE"""),"가결산 보고")</f>
        <v>가결산 보고</v>
      </c>
      <c r="E48" s="197">
        <f>IFERROR(__xludf.DUMMYFUNCTION("""COMPUTED_VALUE"""),1.0)</f>
        <v>1</v>
      </c>
    </row>
    <row r="49" hidden="1">
      <c r="A49" s="195" t="str">
        <f>IFERROR(__xludf.DUMMYFUNCTION("""COMPUTED_VALUE"""),"손민창 (Son, MinChang)")</f>
        <v>손민창 (Son, MinChang)</v>
      </c>
      <c r="B49" s="196">
        <f>IFERROR(__xludf.DUMMYFUNCTION("""COMPUTED_VALUE"""),45654.37168981481)</f>
        <v>45654.37169</v>
      </c>
      <c r="C49" s="197" t="str">
        <f>IFERROR(__xludf.DUMMYFUNCTION("""COMPUTED_VALUE"""),"VPA.Trang")</f>
        <v>VPA.Trang</v>
      </c>
      <c r="D49" s="197" t="str">
        <f>IFERROR(__xludf.DUMMYFUNCTION("""COMPUTED_VALUE"""),"Ai 미사용")</f>
        <v>Ai 미사용</v>
      </c>
      <c r="E49" s="197">
        <f>IFERROR(__xludf.DUMMYFUNCTION("""COMPUTED_VALUE"""),-1.0)</f>
        <v>-1</v>
      </c>
    </row>
    <row r="50" hidden="1">
      <c r="A50" s="195" t="str">
        <f>IFERROR(__xludf.DUMMYFUNCTION("""COMPUTED_VALUE"""),"손민창 (Son, MinChang)")</f>
        <v>손민창 (Son, MinChang)</v>
      </c>
      <c r="B50" s="196">
        <f>IFERROR(__xludf.DUMMYFUNCTION("""COMPUTED_VALUE"""),45862.70253407407)</f>
        <v>45862.70253</v>
      </c>
      <c r="C50" s="197" t="str">
        <f>IFERROR(__xludf.DUMMYFUNCTION("""COMPUTED_VALUE"""),"000.Luat")</f>
        <v>000.Luat</v>
      </c>
      <c r="D50" s="197" t="str">
        <f>IFERROR(__xludf.DUMMYFUNCTION("""COMPUTED_VALUE"""),"차량 판매")</f>
        <v>차량 판매</v>
      </c>
      <c r="E50" s="197">
        <f>IFERROR(__xludf.DUMMYFUNCTION("""COMPUTED_VALUE"""),2.0)</f>
        <v>2</v>
      </c>
    </row>
    <row r="51" hidden="1">
      <c r="A51" s="195" t="str">
        <f>IFERROR(__xludf.DUMMYFUNCTION("""COMPUTED_VALUE"""),"손민창 (Son, MinChang)")</f>
        <v>손민창 (Son, MinChang)</v>
      </c>
      <c r="B51" s="196">
        <f>IFERROR(__xludf.DUMMYFUNCTION("""COMPUTED_VALUE"""),45862.70310196759)</f>
        <v>45862.7031</v>
      </c>
      <c r="C51" s="197" t="str">
        <f>IFERROR(__xludf.DUMMYFUNCTION("""COMPUTED_VALUE"""),"200.Duy Anh")</f>
        <v>200.Duy Anh</v>
      </c>
      <c r="D51" s="197" t="str">
        <f>IFERROR(__xludf.DUMMYFUNCTION("""COMPUTED_VALUE"""),"차량판매")</f>
        <v>차량판매</v>
      </c>
      <c r="E51" s="197">
        <f>IFERROR(__xludf.DUMMYFUNCTION("""COMPUTED_VALUE"""),2.0)</f>
        <v>2</v>
      </c>
    </row>
    <row r="52" hidden="1">
      <c r="A52" s="195" t="str">
        <f>IFERROR(__xludf.DUMMYFUNCTION("""COMPUTED_VALUE"""),"손민창 (Son, MinChang)")</f>
        <v>손민창 (Son, MinChang)</v>
      </c>
      <c r="B52" s="196">
        <f>IFERROR(__xludf.DUMMYFUNCTION("""COMPUTED_VALUE"""),45862.70359943287)</f>
        <v>45862.7036</v>
      </c>
      <c r="C52" s="197" t="str">
        <f>IFERROR(__xludf.DUMMYFUNCTION("""COMPUTED_VALUE"""),"100.Hieu")</f>
        <v>100.Hieu</v>
      </c>
      <c r="D52" s="197" t="str">
        <f>IFERROR(__xludf.DUMMYFUNCTION("""COMPUTED_VALUE"""),"생일파티. 막걸리파티")</f>
        <v>생일파티. 막걸리파티</v>
      </c>
      <c r="E52" s="197">
        <f>IFERROR(__xludf.DUMMYFUNCTION("""COMPUTED_VALUE"""),5.0)</f>
        <v>5</v>
      </c>
    </row>
    <row r="53" hidden="1">
      <c r="A53" s="195" t="str">
        <f>IFERROR(__xludf.DUMMYFUNCTION("""COMPUTED_VALUE"""),"손민창 (Son, MinChang)")</f>
        <v>손민창 (Son, MinChang)</v>
      </c>
      <c r="B53" s="196">
        <f>IFERROR(__xludf.DUMMYFUNCTION("""COMPUTED_VALUE"""),45862.70424907407)</f>
        <v>45862.70425</v>
      </c>
      <c r="C53" s="197" t="str">
        <f>IFERROR(__xludf.DUMMYFUNCTION("""COMPUTED_VALUE"""),"300.Trang")</f>
        <v>300.Trang</v>
      </c>
      <c r="D53" s="197" t="str">
        <f>IFERROR(__xludf.DUMMYFUNCTION("""COMPUTED_VALUE"""),"영어 잘함. 커피 심부름")</f>
        <v>영어 잘함. 커피 심부름</v>
      </c>
      <c r="E53" s="197">
        <f>IFERROR(__xludf.DUMMYFUNCTION("""COMPUTED_VALUE"""),1.0)</f>
        <v>1</v>
      </c>
    </row>
    <row r="54" hidden="1">
      <c r="A54" s="195" t="str">
        <f>IFERROR(__xludf.DUMMYFUNCTION("""COMPUTED_VALUE"""),"손민창 (Son, MinChang)")</f>
        <v>손민창 (Son, MinChang)</v>
      </c>
      <c r="B54" s="196">
        <f>IFERROR(__xludf.DUMMYFUNCTION("""COMPUTED_VALUE"""),45869.897755046295)</f>
        <v>45869.89776</v>
      </c>
      <c r="C54" s="197" t="str">
        <f>IFERROR(__xludf.DUMMYFUNCTION("""COMPUTED_VALUE"""),"300.Sim")</f>
        <v>300.Sim</v>
      </c>
      <c r="D54" s="197" t="str">
        <f>IFERROR(__xludf.DUMMYFUNCTION("""COMPUTED_VALUE"""),"급여 늦게 결제")</f>
        <v>급여 늦게 결제</v>
      </c>
      <c r="E54" s="197">
        <f>IFERROR(__xludf.DUMMYFUNCTION("""COMPUTED_VALUE"""),-2.0)</f>
        <v>-2</v>
      </c>
    </row>
    <row r="55" hidden="1">
      <c r="A55" s="195" t="str">
        <f>IFERROR(__xludf.DUMMYFUNCTION("""COMPUTED_VALUE"""),"손민창 (Son, MinChang)")</f>
        <v>손민창 (Son, MinChang)</v>
      </c>
      <c r="B55" s="196">
        <f>IFERROR(__xludf.DUMMYFUNCTION("""COMPUTED_VALUE"""),45899.579790393516)</f>
        <v>45899.57979</v>
      </c>
      <c r="C55" s="197" t="str">
        <f>IFERROR(__xludf.DUMMYFUNCTION("""COMPUTED_VALUE"""),"500.Tam")</f>
        <v>500.Tam</v>
      </c>
      <c r="D55" s="197" t="str">
        <f>IFERROR(__xludf.DUMMYFUNCTION("""COMPUTED_VALUE"""),"파일 공사금액 물량 미확인 동양 푸드")</f>
        <v>파일 공사금액 물량 미확인 동양 푸드</v>
      </c>
      <c r="E55" s="197">
        <f>IFERROR(__xludf.DUMMYFUNCTION("""COMPUTED_VALUE"""),-1.0)</f>
        <v>-1</v>
      </c>
    </row>
    <row r="56" hidden="1">
      <c r="A56" s="195" t="str">
        <f>IFERROR(__xludf.DUMMYFUNCTION("""COMPUTED_VALUE"""),"손민창 (Son, MinChang)")</f>
        <v>손민창 (Son, MinChang)</v>
      </c>
      <c r="B56" s="196">
        <f>IFERROR(__xludf.DUMMYFUNCTION("""COMPUTED_VALUE"""),45926.73175605324)</f>
        <v>45926.73176</v>
      </c>
      <c r="C56" s="197" t="str">
        <f>IFERROR(__xludf.DUMMYFUNCTION("""COMPUTED_VALUE"""),"000.Luat")</f>
        <v>000.Luat</v>
      </c>
      <c r="D56" s="197" t="str">
        <f>IFERROR(__xludf.DUMMYFUNCTION("""COMPUTED_VALUE"""),"연장근무 프로그램")</f>
        <v>연장근무 프로그램</v>
      </c>
      <c r="E56" s="197">
        <f>IFERROR(__xludf.DUMMYFUNCTION("""COMPUTED_VALUE"""),3.0)</f>
        <v>3</v>
      </c>
    </row>
    <row r="57" hidden="1">
      <c r="A57" s="195" t="str">
        <f>IFERROR(__xludf.DUMMYFUNCTION("""COMPUTED_VALUE"""),"손민창 (Son, MinChang)")</f>
        <v>손민창 (Son, MinChang)</v>
      </c>
      <c r="B57" s="196">
        <f>IFERROR(__xludf.DUMMYFUNCTION("""COMPUTED_VALUE"""),45926.732034953704)</f>
        <v>45926.73203</v>
      </c>
      <c r="C57" s="197" t="str">
        <f>IFERROR(__xludf.DUMMYFUNCTION("""COMPUTED_VALUE"""),"200.Duy Anh")</f>
        <v>200.Duy Anh</v>
      </c>
      <c r="D57" s="197" t="str">
        <f>IFERROR(__xludf.DUMMYFUNCTION("""COMPUTED_VALUE"""),"연장근무프로그램")</f>
        <v>연장근무프로그램</v>
      </c>
      <c r="E57" s="197">
        <f>IFERROR(__xludf.DUMMYFUNCTION("""COMPUTED_VALUE"""),3.0)</f>
        <v>3</v>
      </c>
    </row>
    <row r="58" hidden="1">
      <c r="A58" s="195" t="str">
        <f>IFERROR(__xludf.DUMMYFUNCTION("""COMPUTED_VALUE"""),"손민창 (Son, MinChang)")</f>
        <v>손민창 (Son, MinChang)</v>
      </c>
      <c r="B58" s="196">
        <f>IFERROR(__xludf.DUMMYFUNCTION("""COMPUTED_VALUE"""),45973.449072523144)</f>
        <v>45973.44907</v>
      </c>
      <c r="C58" s="197" t="str">
        <f>IFERROR(__xludf.DUMMYFUNCTION("""COMPUTED_VALUE"""),"000.Luat")</f>
        <v>000.Luat</v>
      </c>
      <c r="D58" s="197" t="str">
        <f>IFERROR(__xludf.DUMMYFUNCTION("""COMPUTED_VALUE"""),"현금 기록 세금정산후")</f>
        <v>현금 기록 세금정산후</v>
      </c>
      <c r="E58" s="197">
        <f>IFERROR(__xludf.DUMMYFUNCTION("""COMPUTED_VALUE"""),-2.0)</f>
        <v>-2</v>
      </c>
    </row>
    <row r="59" hidden="1" outlineLevel="1">
      <c r="A59" s="195" t="str">
        <f>IFERROR(__xludf.DUMMYFUNCTION("""COMPUTED_VALUE"""),"손민창 (Son, MinChang)")</f>
        <v>손민창 (Son, MinChang)</v>
      </c>
      <c r="B59" s="196">
        <f>IFERROR(__xludf.DUMMYFUNCTION("""COMPUTED_VALUE"""),45973.4495253125)</f>
        <v>45973.44953</v>
      </c>
      <c r="C59" s="197" t="str">
        <f>IFERROR(__xludf.DUMMYFUNCTION("""COMPUTED_VALUE"""),"300.Thuy")</f>
        <v>300.Thuy</v>
      </c>
      <c r="D59" s="197" t="str">
        <f>IFERROR(__xludf.DUMMYFUNCTION("""COMPUTED_VALUE"""),"세금 정산후 현금 기록")</f>
        <v>세금 정산후 현금 기록</v>
      </c>
      <c r="E59" s="197">
        <f>IFERROR(__xludf.DUMMYFUNCTION("""COMPUTED_VALUE"""),-2.0)</f>
        <v>-2</v>
      </c>
    </row>
    <row r="60" hidden="1" outlineLevel="1">
      <c r="A60" s="195" t="str">
        <f>IFERROR(__xludf.DUMMYFUNCTION("""COMPUTED_VALUE"""),"손민창 (Son, MinChang)")</f>
        <v>손민창 (Son, MinChang)</v>
      </c>
      <c r="B60" s="196">
        <f>IFERROR(__xludf.DUMMYFUNCTION("""COMPUTED_VALUE"""),45979.63091546296)</f>
        <v>45979.63092</v>
      </c>
      <c r="C60" s="197" t="str">
        <f>IFERROR(__xludf.DUMMYFUNCTION("""COMPUTED_VALUE"""),"TYM.Kien")</f>
        <v>TYM.Kien</v>
      </c>
      <c r="D60" s="197" t="str">
        <f>IFERROR(__xludf.DUMMYFUNCTION("""COMPUTED_VALUE"""),"인허가")</f>
        <v>인허가</v>
      </c>
      <c r="E60" s="197">
        <f>IFERROR(__xludf.DUMMYFUNCTION("""COMPUTED_VALUE"""),2.0)</f>
        <v>2</v>
      </c>
    </row>
    <row r="61" hidden="1" outlineLevel="1">
      <c r="A61" s="195" t="str">
        <f>IFERROR(__xludf.DUMMYFUNCTION("""COMPUTED_VALUE"""),"손민창 (Son, MinChang)")</f>
        <v>손민창 (Son, MinChang)</v>
      </c>
      <c r="B61" s="196">
        <f>IFERROR(__xludf.DUMMYFUNCTION("""COMPUTED_VALUE"""),46066.6934697338)</f>
        <v>46066.69347</v>
      </c>
      <c r="C61" s="197" t="str">
        <f>IFERROR(__xludf.DUMMYFUNCTION("""COMPUTED_VALUE"""),"TYM.Kien")</f>
        <v>TYM.Kien</v>
      </c>
      <c r="D61" s="197" t="str">
        <f>IFERROR(__xludf.DUMMYFUNCTION("""COMPUTED_VALUE"""),"설전 인허가")</f>
        <v>설전 인허가</v>
      </c>
      <c r="E61" s="197">
        <f>IFERROR(__xludf.DUMMYFUNCTION("""COMPUTED_VALUE"""),3.0)</f>
        <v>3</v>
      </c>
    </row>
    <row r="62" hidden="1" outlineLevel="1">
      <c r="A62" s="198" t="str">
        <f>IFERROR(__xludf.DUMMYFUNCTION("""COMPUTED_VALUE"""),"손민창 (Son, MinChang)")</f>
        <v>손민창 (Son, MinChang)</v>
      </c>
      <c r="B62" s="199">
        <f>IFERROR(__xludf.DUMMYFUNCTION("""COMPUTED_VALUE"""),46066.694307060185)</f>
        <v>46066.69431</v>
      </c>
      <c r="C62" s="22" t="str">
        <f>IFERROR(__xludf.DUMMYFUNCTION("""COMPUTED_VALUE"""),"300.Sim")</f>
        <v>300.Sim</v>
      </c>
      <c r="D62" s="22" t="str">
        <f>IFERROR(__xludf.DUMMYFUNCTION("""COMPUTED_VALUE"""),"설계비 수금 잘함")</f>
        <v>설계비 수금 잘함</v>
      </c>
      <c r="E62" s="25">
        <f>IFERROR(__xludf.DUMMYFUNCTION("""COMPUTED_VALUE"""),2.0)</f>
        <v>2</v>
      </c>
      <c r="F62" s="22"/>
    </row>
    <row r="63" hidden="1" outlineLevel="1">
      <c r="A63" s="195" t="str">
        <f>IFERROR(__xludf.DUMMYFUNCTION("""COMPUTED_VALUE"""),"손민창 (Son, MinChang)")</f>
        <v>손민창 (Son, MinChang)</v>
      </c>
      <c r="B63" s="196">
        <f>IFERROR(__xludf.DUMMYFUNCTION("""COMPUTED_VALUE"""),46066.69499283565)</f>
        <v>46066.69499</v>
      </c>
      <c r="C63" s="197" t="str">
        <f>IFERROR(__xludf.DUMMYFUNCTION("""COMPUTED_VALUE"""),"000.Luat")</f>
        <v>000.Luat</v>
      </c>
      <c r="D63" s="197" t="str">
        <f>IFERROR(__xludf.DUMMYFUNCTION("""COMPUTED_VALUE"""),"자동차 구입 비교")</f>
        <v>자동차 구입 비교</v>
      </c>
      <c r="E63" s="197">
        <f>IFERROR(__xludf.DUMMYFUNCTION("""COMPUTED_VALUE"""),2.0)</f>
        <v>2</v>
      </c>
    </row>
    <row r="64" hidden="1" outlineLevel="1">
      <c r="A64" s="195" t="str">
        <f>IFERROR(__xludf.DUMMYFUNCTION("""COMPUTED_VALUE"""),"손민창 (Son, MinChang)")</f>
        <v>손민창 (Son, MinChang)</v>
      </c>
      <c r="B64" s="196">
        <f>IFERROR(__xludf.DUMMYFUNCTION("""COMPUTED_VALUE"""),46066.695405)</f>
        <v>46066.69541</v>
      </c>
      <c r="C64" s="197" t="str">
        <f>IFERROR(__xludf.DUMMYFUNCTION("""COMPUTED_VALUE"""),"500.Tam")</f>
        <v>500.Tam</v>
      </c>
      <c r="D64" s="197" t="str">
        <f>IFERROR(__xludf.DUMMYFUNCTION("""COMPUTED_VALUE"""),"최종 정산")</f>
        <v>최종 정산</v>
      </c>
      <c r="E64" s="197">
        <f>IFERROR(__xludf.DUMMYFUNCTION("""COMPUTED_VALUE"""),2.0)</f>
        <v>2</v>
      </c>
    </row>
    <row r="65" hidden="1" outlineLevel="1">
      <c r="A65" s="198" t="str">
        <f>IFERROR(__xludf.DUMMYFUNCTION("""COMPUTED_VALUE"""),"손민창 (Son, MinChang)")</f>
        <v>손민창 (Son, MinChang)</v>
      </c>
      <c r="B65" s="199">
        <f>IFERROR(__xludf.DUMMYFUNCTION("""COMPUTED_VALUE"""),46066.69578140046)</f>
        <v>46066.69578</v>
      </c>
      <c r="C65" s="22" t="str">
        <f>IFERROR(__xludf.DUMMYFUNCTION("""COMPUTED_VALUE"""),"ADC.Thuyet")</f>
        <v>ADC.Thuyet</v>
      </c>
      <c r="D65" s="22" t="str">
        <f>IFERROR(__xludf.DUMMYFUNCTION("""COMPUTED_VALUE"""),"GADA")</f>
        <v>GADA</v>
      </c>
      <c r="E65" s="25">
        <f>IFERROR(__xludf.DUMMYFUNCTION("""COMPUTED_VALUE"""),3.0)</f>
        <v>3</v>
      </c>
      <c r="F65" s="22"/>
    </row>
    <row r="66" hidden="1" outlineLevel="1">
      <c r="A66" s="195" t="str">
        <f>IFERROR(__xludf.DUMMYFUNCTION("""COMPUTED_VALUE"""),"손민창 (Son, MinChang)")</f>
        <v>손민창 (Son, MinChang)</v>
      </c>
      <c r="B66" s="196">
        <f>IFERROR(__xludf.DUMMYFUNCTION("""COMPUTED_VALUE"""),46092.83694489583)</f>
        <v>46092.83694</v>
      </c>
      <c r="C66" s="197" t="str">
        <f>IFERROR(__xludf.DUMMYFUNCTION("""COMPUTED_VALUE"""),"200.Duy Anh")</f>
        <v>200.Duy Anh</v>
      </c>
      <c r="D66" s="197" t="str">
        <f>IFERROR(__xludf.DUMMYFUNCTION("""COMPUTED_VALUE"""),"수건 미포장")</f>
        <v>수건 미포장</v>
      </c>
      <c r="E66" s="197">
        <f>IFERROR(__xludf.DUMMYFUNCTION("""COMPUTED_VALUE"""),-2.0)</f>
        <v>-2</v>
      </c>
    </row>
    <row r="67" hidden="1" outlineLevel="1">
      <c r="A67" s="195" t="str">
        <f>IFERROR(__xludf.DUMMYFUNCTION("""COMPUTED_VALUE"""),"손민창 (Son, MinChang)")</f>
        <v>손민창 (Son, MinChang)</v>
      </c>
      <c r="B67" s="196">
        <f>IFERROR(__xludf.DUMMYFUNCTION("""COMPUTED_VALUE"""),46099.43782856481)</f>
        <v>46099.43783</v>
      </c>
      <c r="C67" s="197" t="str">
        <f>IFERROR(__xludf.DUMMYFUNCTION("""COMPUTED_VALUE"""),"200.Duy Anh")</f>
        <v>200.Duy Anh</v>
      </c>
      <c r="D67" s="197" t="str">
        <f>IFERROR(__xludf.DUMMYFUNCTION("""COMPUTED_VALUE"""),"생선 주문")</f>
        <v>생선 주문</v>
      </c>
      <c r="E67" s="197">
        <f>IFERROR(__xludf.DUMMYFUNCTION("""COMPUTED_VALUE"""),-3.0)</f>
        <v>-3</v>
      </c>
    </row>
    <row r="68" hidden="1" outlineLevel="1">
      <c r="A68" s="195" t="str">
        <f>IFERROR(__xludf.DUMMYFUNCTION("""COMPUTED_VALUE"""),"손민창 (Son, MinChang)")</f>
        <v>손민창 (Son, MinChang)</v>
      </c>
      <c r="B68" s="196">
        <f>IFERROR(__xludf.DUMMYFUNCTION("""COMPUTED_VALUE"""),46147.345815023145)</f>
        <v>46147.34582</v>
      </c>
      <c r="C68" s="197" t="str">
        <f>IFERROR(__xludf.DUMMYFUNCTION("""COMPUTED_VALUE"""),"ADC.Thuyet")</f>
        <v>ADC.Thuyet</v>
      </c>
      <c r="D68" s="197" t="str">
        <f>IFERROR(__xludf.DUMMYFUNCTION("""COMPUTED_VALUE"""),"관리 사진 철저")</f>
        <v>관리 사진 철저</v>
      </c>
      <c r="E68" s="197">
        <f>IFERROR(__xludf.DUMMYFUNCTION("""COMPUTED_VALUE"""),3.0)</f>
        <v>3</v>
      </c>
    </row>
    <row r="69" hidden="1" outlineLevel="1">
      <c r="A69" s="195" t="str">
        <f>IFERROR(__xludf.DUMMYFUNCTION("""COMPUTED_VALUE"""),"손민창 (Son, MinChang)")</f>
        <v>손민창 (Son, MinChang)</v>
      </c>
      <c r="B69" s="196">
        <f>IFERROR(__xludf.DUMMYFUNCTION("""COMPUTED_VALUE"""),46147.34620775463)</f>
        <v>46147.34621</v>
      </c>
      <c r="C69" s="197" t="str">
        <f>IFERROR(__xludf.DUMMYFUNCTION("""COMPUTED_VALUE"""),"VPA.Huyen")</f>
        <v>VPA.Huyen</v>
      </c>
      <c r="D69" s="197" t="str">
        <f>IFERROR(__xludf.DUMMYFUNCTION("""COMPUTED_VALUE"""),"투시도")</f>
        <v>투시도</v>
      </c>
      <c r="E69" s="197">
        <f>IFERROR(__xludf.DUMMYFUNCTION("""COMPUTED_VALUE"""),3.0)</f>
        <v>3</v>
      </c>
    </row>
    <row r="70" hidden="1" outlineLevel="1">
      <c r="A70" s="198" t="str">
        <f>IFERROR(__xludf.DUMMYFUNCTION("""COMPUTED_VALUE"""),"손민창 (Son, MinChang)")</f>
        <v>손민창 (Son, MinChang)</v>
      </c>
      <c r="B70" s="199">
        <f>IFERROR(__xludf.DUMMYFUNCTION("""COMPUTED_VALUE"""),46147.34653825231)</f>
        <v>46147.34654</v>
      </c>
      <c r="C70" s="22" t="str">
        <f>IFERROR(__xludf.DUMMYFUNCTION("""COMPUTED_VALUE"""),"VPA.Trang")</f>
        <v>VPA.Trang</v>
      </c>
      <c r="D70" s="22" t="str">
        <f>IFERROR(__xludf.DUMMYFUNCTION("""COMPUTED_VALUE"""),"협의 잘함. 보고")</f>
        <v>협의 잘함. 보고</v>
      </c>
      <c r="E70" s="25">
        <f>IFERROR(__xludf.DUMMYFUNCTION("""COMPUTED_VALUE"""),3.0)</f>
        <v>3</v>
      </c>
      <c r="F70" s="22"/>
    </row>
    <row r="71" hidden="1" outlineLevel="1">
      <c r="A71" s="195" t="str">
        <f>IFERROR(__xludf.DUMMYFUNCTION("""COMPUTED_VALUE"""),"손민창 (Son, MinChang)")</f>
        <v>손민창 (Son, MinChang)</v>
      </c>
      <c r="B71" s="196">
        <f>IFERROR(__xludf.DUMMYFUNCTION("""COMPUTED_VALUE"""),46147.346819363425)</f>
        <v>46147.34682</v>
      </c>
      <c r="C71" s="197" t="str">
        <f>IFERROR(__xludf.DUMMYFUNCTION("""COMPUTED_VALUE"""),"VPA.Duong")</f>
        <v>VPA.Duong</v>
      </c>
      <c r="D71" s="197" t="str">
        <f>IFERROR(__xludf.DUMMYFUNCTION("""COMPUTED_VALUE"""),"제안서 제출")</f>
        <v>제안서 제출</v>
      </c>
      <c r="E71" s="197">
        <f>IFERROR(__xludf.DUMMYFUNCTION("""COMPUTED_VALUE"""),3.0)</f>
        <v>3</v>
      </c>
    </row>
    <row r="72" hidden="1" outlineLevel="1">
      <c r="A72" s="195" t="str">
        <f>IFERROR(__xludf.DUMMYFUNCTION("""COMPUTED_VALUE"""),"손민창 (Son, MinChang)")</f>
        <v>손민창 (Son, MinChang)</v>
      </c>
      <c r="B72" s="196">
        <f>IFERROR(__xludf.DUMMYFUNCTION("""COMPUTED_VALUE"""),46163.47064701389)</f>
        <v>46163.47065</v>
      </c>
      <c r="C72" s="197" t="str">
        <f>IFERROR(__xludf.DUMMYFUNCTION("""COMPUTED_VALUE"""),"000.Luat")</f>
        <v>000.Luat</v>
      </c>
      <c r="D72" s="197" t="str">
        <f>IFERROR(__xludf.DUMMYFUNCTION("""COMPUTED_VALUE"""),"위생허가")</f>
        <v>위생허가</v>
      </c>
      <c r="E72" s="197">
        <f>IFERROR(__xludf.DUMMYFUNCTION("""COMPUTED_VALUE"""),3.0)</f>
        <v>3</v>
      </c>
    </row>
    <row r="73" hidden="1" outlineLevel="1">
      <c r="A73" s="195" t="str">
        <f>IFERROR(__xludf.DUMMYFUNCTION("""COMPUTED_VALUE"""),"손민창 (Son, MinChang)")</f>
        <v>손민창 (Son, MinChang)</v>
      </c>
      <c r="B73" s="196">
        <f>IFERROR(__xludf.DUMMYFUNCTION("""COMPUTED_VALUE"""),46163.4779222338)</f>
        <v>46163.47792</v>
      </c>
      <c r="C73" s="197" t="str">
        <f>IFERROR(__xludf.DUMMYFUNCTION("""COMPUTED_VALUE"""),"TYM.Kien")</f>
        <v>TYM.Kien</v>
      </c>
      <c r="D73" s="197" t="str">
        <f>IFERROR(__xludf.DUMMYFUNCTION("""COMPUTED_VALUE"""),"판매왕")</f>
        <v>판매왕</v>
      </c>
      <c r="E73" s="197">
        <f>IFERROR(__xludf.DUMMYFUNCTION("""COMPUTED_VALUE"""),5.0)</f>
        <v>5</v>
      </c>
    </row>
    <row r="74" hidden="1" outlineLevel="1">
      <c r="A74" s="195" t="str">
        <f>IFERROR(__xludf.DUMMYFUNCTION("""COMPUTED_VALUE"""),"손민창 (Son, MinChang)")</f>
        <v>손민창 (Son, MinChang)</v>
      </c>
      <c r="B74" s="196">
        <f>IFERROR(__xludf.DUMMYFUNCTION("""COMPUTED_VALUE"""),46178.448044641205)</f>
        <v>46178.44804</v>
      </c>
      <c r="C74" s="197" t="str">
        <f>IFERROR(__xludf.DUMMYFUNCTION("""COMPUTED_VALUE"""),"000.Luat")</f>
        <v>000.Luat</v>
      </c>
      <c r="D74" s="197" t="str">
        <f>IFERROR(__xludf.DUMMYFUNCTION("""COMPUTED_VALUE"""),"맨데이 자동화")</f>
        <v>맨데이 자동화</v>
      </c>
      <c r="E74" s="197">
        <f>IFERROR(__xludf.DUMMYFUNCTION("""COMPUTED_VALUE"""),2.0)</f>
        <v>2</v>
      </c>
    </row>
    <row r="75" hidden="1" outlineLevel="1">
      <c r="A75" s="195" t="str">
        <f>IFERROR(__xludf.DUMMYFUNCTION("""COMPUTED_VALUE"""),"손민창 (Son, MinChang)")</f>
        <v>손민창 (Son, MinChang)</v>
      </c>
      <c r="B75" s="196">
        <f>IFERROR(__xludf.DUMMYFUNCTION("""COMPUTED_VALUE"""),46178.448645069446)</f>
        <v>46178.44865</v>
      </c>
      <c r="C75" s="197" t="str">
        <f>IFERROR(__xludf.DUMMYFUNCTION("""COMPUTED_VALUE"""),"VPA.Duong")</f>
        <v>VPA.Duong</v>
      </c>
      <c r="D75" s="197" t="str">
        <f>IFERROR(__xludf.DUMMYFUNCTION("""COMPUTED_VALUE"""),"소요호텔 컨솊")</f>
        <v>소요호텔 컨솊</v>
      </c>
      <c r="E75" s="197">
        <f>IFERROR(__xludf.DUMMYFUNCTION("""COMPUTED_VALUE"""),2.0)</f>
        <v>2</v>
      </c>
    </row>
    <row r="76" hidden="1" outlineLevel="1">
      <c r="A76" s="195" t="str">
        <f>IFERROR(__xludf.DUMMYFUNCTION("""COMPUTED_VALUE"""),"손민창 (Son, MinChang)")</f>
        <v>손민창 (Son, MinChang)</v>
      </c>
      <c r="B76" s="196">
        <f>IFERROR(__xludf.DUMMYFUNCTION("""COMPUTED_VALUE"""),46184.686298298606)</f>
        <v>46184.6863</v>
      </c>
      <c r="C76" s="197" t="str">
        <f>IFERROR(__xludf.DUMMYFUNCTION("""COMPUTED_VALUE"""),"300.Trang")</f>
        <v>300.Trang</v>
      </c>
      <c r="D76" s="197" t="str">
        <f>IFERROR(__xludf.DUMMYFUNCTION("""COMPUTED_VALUE"""),"영수증 처리 미흡")</f>
        <v>영수증 처리 미흡</v>
      </c>
      <c r="E76" s="197">
        <f>IFERROR(__xludf.DUMMYFUNCTION("""COMPUTED_VALUE"""),-1.0)</f>
        <v>-1</v>
      </c>
    </row>
    <row r="77" hidden="1" outlineLevel="1">
      <c r="A77" s="195" t="str">
        <f>IFERROR(__xludf.DUMMYFUNCTION("""COMPUTED_VALUE"""),"손민창 (Son, MinChang)")</f>
        <v>손민창 (Son, MinChang)</v>
      </c>
      <c r="B77" s="196">
        <f>IFERROR(__xludf.DUMMYFUNCTION("""COMPUTED_VALUE"""),46197.51302503472)</f>
        <v>46197.51303</v>
      </c>
      <c r="C77" s="197" t="str">
        <f>IFERROR(__xludf.DUMMYFUNCTION("""COMPUTED_VALUE"""),"500.Quyen")</f>
        <v>500.Quyen</v>
      </c>
      <c r="D77" s="197" t="str">
        <f>IFERROR(__xludf.DUMMYFUNCTION("""COMPUTED_VALUE"""),"Ai발표잘함")</f>
        <v>Ai발표잘함</v>
      </c>
      <c r="E77" s="197">
        <f>IFERROR(__xludf.DUMMYFUNCTION("""COMPUTED_VALUE"""),2.0)</f>
        <v>2</v>
      </c>
    </row>
    <row r="78" hidden="1" outlineLevel="1">
      <c r="A78" s="195" t="str">
        <f>IFERROR(__xludf.DUMMYFUNCTION("""COMPUTED_VALUE"""),"손민창 (Son, MinChang)")</f>
        <v>손민창 (Son, MinChang)</v>
      </c>
      <c r="B78" s="196">
        <f>IFERROR(__xludf.DUMMYFUNCTION("""COMPUTED_VALUE"""),46197.51406920139)</f>
        <v>46197.51407</v>
      </c>
      <c r="C78" s="197" t="str">
        <f>IFERROR(__xludf.DUMMYFUNCTION("""COMPUTED_VALUE"""),"500.Giang")</f>
        <v>500.Giang</v>
      </c>
      <c r="D78" s="197" t="str">
        <f>IFERROR(__xludf.DUMMYFUNCTION("""COMPUTED_VALUE"""),"Ai  보고서 달적용했다")</f>
        <v>Ai  보고서 달적용했다</v>
      </c>
      <c r="E78" s="197">
        <f>IFERROR(__xludf.DUMMYFUNCTION("""COMPUTED_VALUE"""),1.0)</f>
        <v>1</v>
      </c>
    </row>
    <row r="79" hidden="1" outlineLevel="1">
      <c r="A79" s="195" t="str">
        <f>IFERROR(__xludf.DUMMYFUNCTION("""COMPUTED_VALUE"""),"손민창 (Son, MinChang)")</f>
        <v>손민창 (Son, MinChang)</v>
      </c>
      <c r="B79" s="196">
        <f>IFERROR(__xludf.DUMMYFUNCTION("""COMPUTED_VALUE"""),46200.35978817129)</f>
        <v>46200.35979</v>
      </c>
      <c r="C79" s="197" t="str">
        <f>IFERROR(__xludf.DUMMYFUNCTION("""COMPUTED_VALUE"""),"500.Tam")</f>
        <v>500.Tam</v>
      </c>
      <c r="D79" s="197" t="str">
        <f>IFERROR(__xludf.DUMMYFUNCTION("""COMPUTED_VALUE"""),"견적서 양식 미달")</f>
        <v>견적서 양식 미달</v>
      </c>
      <c r="E79" s="197">
        <f>IFERROR(__xludf.DUMMYFUNCTION("""COMPUTED_VALUE"""),-2.0)</f>
        <v>-2</v>
      </c>
    </row>
    <row r="80" hidden="1" outlineLevel="1">
      <c r="A80" s="195" t="str">
        <f>IFERROR(__xludf.DUMMYFUNCTION("""COMPUTED_VALUE"""),"손민창 (Son, MinChang)")</f>
        <v>손민창 (Son, MinChang)</v>
      </c>
      <c r="B80" s="196">
        <f>IFERROR(__xludf.DUMMYFUNCTION("""COMPUTED_VALUE"""),44883.79556712963)</f>
        <v>44883.79557</v>
      </c>
      <c r="C80" s="200" t="str">
        <f>IFERROR(__xludf.DUMMYFUNCTION("""COMPUTED_VALUE"""),"VPA.Vu")</f>
        <v>VPA.Vu</v>
      </c>
      <c r="D80" s="197" t="str">
        <f>IFERROR(__xludf.DUMMYFUNCTION("""COMPUTED_VALUE"""),"문서 기본 양식 지키지.않음")</f>
        <v>문서 기본 양식 지키지.않음</v>
      </c>
      <c r="E80" s="197">
        <f>IFERROR(__xludf.DUMMYFUNCTION("""COMPUTED_VALUE"""),-1.0)</f>
        <v>-1</v>
      </c>
    </row>
    <row r="81" hidden="1" outlineLevel="1">
      <c r="A81" s="195" t="str">
        <f>IFERROR(__xludf.DUMMYFUNCTION("""COMPUTED_VALUE"""),"손민창 (Son, MinChang)")</f>
        <v>손민창 (Son, MinChang)</v>
      </c>
      <c r="B81" s="196">
        <f>IFERROR(__xludf.DUMMYFUNCTION("""COMPUTED_VALUE"""),44916.52958333334)</f>
        <v>44916.52958</v>
      </c>
      <c r="C81" s="197" t="str">
        <f>IFERROR(__xludf.DUMMYFUNCTION("""COMPUTED_VALUE"""),"300.Sim")</f>
        <v>300.Sim</v>
      </c>
      <c r="D81" s="197" t="str">
        <f>IFERROR(__xludf.DUMMYFUNCTION("""COMPUTED_VALUE"""),"주간업무보고")</f>
        <v>주간업무보고</v>
      </c>
      <c r="E81" s="197">
        <f>IFERROR(__xludf.DUMMYFUNCTION("""COMPUTED_VALUE"""),-1.0)</f>
        <v>-1</v>
      </c>
    </row>
    <row r="82" hidden="1" outlineLevel="1">
      <c r="A82" s="195" t="str">
        <f>IFERROR(__xludf.DUMMYFUNCTION("""COMPUTED_VALUE"""),"손민창 (Son, MinChang)")</f>
        <v>손민창 (Son, MinChang)</v>
      </c>
      <c r="B82" s="196">
        <f>IFERROR(__xludf.DUMMYFUNCTION("""COMPUTED_VALUE"""),44917.48672453704)</f>
        <v>44917.48672</v>
      </c>
      <c r="C82" s="197" t="str">
        <f>IFERROR(__xludf.DUMMYFUNCTION("""COMPUTED_VALUE"""),"300.Sim")</f>
        <v>300.Sim</v>
      </c>
      <c r="D82" s="197" t="str">
        <f>IFERROR(__xludf.DUMMYFUNCTION("""COMPUTED_VALUE"""),"tiền cho KPA")</f>
        <v>tiền cho KPA</v>
      </c>
      <c r="E82" s="197">
        <f>IFERROR(__xludf.DUMMYFUNCTION("""COMPUTED_VALUE"""),1.0)</f>
        <v>1</v>
      </c>
    </row>
    <row r="83" hidden="1" outlineLevel="1">
      <c r="A83" s="195"/>
    </row>
    <row r="84" hidden="1" outlineLevel="1">
      <c r="A84" s="195"/>
    </row>
    <row r="85" hidden="1" outlineLevel="1">
      <c r="A85" s="195"/>
    </row>
    <row r="86" hidden="1">
      <c r="A86" s="195"/>
    </row>
    <row r="87" hidden="1">
      <c r="A87" s="195"/>
    </row>
    <row r="88" hidden="1">
      <c r="A88" s="195"/>
    </row>
    <row r="89" hidden="1">
      <c r="A89" s="195"/>
    </row>
    <row r="90" hidden="1">
      <c r="A90" s="195"/>
    </row>
    <row r="91" hidden="1">
      <c r="A91" s="195"/>
    </row>
    <row r="92" hidden="1">
      <c r="A92" s="195"/>
    </row>
    <row r="93" hidden="1">
      <c r="A93" s="195"/>
    </row>
    <row r="94" hidden="1">
      <c r="A94" s="195"/>
    </row>
    <row r="95" hidden="1">
      <c r="A95" s="195"/>
    </row>
    <row r="96" hidden="1">
      <c r="A96" s="195"/>
    </row>
    <row r="97" hidden="1">
      <c r="A97" s="195"/>
    </row>
    <row r="98" hidden="1">
      <c r="A98" s="195"/>
    </row>
    <row r="99" hidden="1">
      <c r="A99" s="195"/>
    </row>
    <row r="100" hidden="1">
      <c r="A100" s="195"/>
    </row>
    <row r="101" hidden="1">
      <c r="A101" s="195"/>
    </row>
    <row r="102" hidden="1">
      <c r="A102" s="195"/>
    </row>
    <row r="103" hidden="1">
      <c r="A103" s="195"/>
    </row>
    <row r="104" hidden="1">
      <c r="A104" s="195"/>
    </row>
    <row r="105" hidden="1">
      <c r="A105" s="195"/>
    </row>
    <row r="106" hidden="1">
      <c r="A106" s="195"/>
    </row>
    <row r="107" hidden="1">
      <c r="A107" s="195"/>
    </row>
    <row r="108" hidden="1">
      <c r="A108" s="195"/>
    </row>
    <row r="109" hidden="1">
      <c r="A109" s="195"/>
    </row>
    <row r="110" hidden="1">
      <c r="A110" s="195"/>
    </row>
    <row r="111" hidden="1">
      <c r="A111" s="195"/>
    </row>
    <row r="112" hidden="1">
      <c r="A112" s="195"/>
    </row>
    <row r="113">
      <c r="A113" s="201"/>
      <c r="D113" s="202"/>
    </row>
    <row r="114">
      <c r="A114" s="201"/>
      <c r="D114" s="202"/>
    </row>
    <row r="115">
      <c r="A115" s="201"/>
      <c r="D115" s="202"/>
    </row>
    <row r="116">
      <c r="A116" s="201"/>
      <c r="D116" s="202"/>
    </row>
    <row r="117">
      <c r="A117" s="201"/>
      <c r="D117" s="202"/>
    </row>
    <row r="118">
      <c r="A118" s="201"/>
      <c r="D118" s="202"/>
    </row>
    <row r="119" outlineLevel="1">
      <c r="A119" s="201"/>
      <c r="B119" s="203"/>
      <c r="C119" s="204"/>
      <c r="D119" s="203"/>
      <c r="E119" s="205"/>
      <c r="F119" s="203"/>
    </row>
    <row r="120" outlineLevel="1">
      <c r="A120" s="201"/>
      <c r="B120" s="203"/>
      <c r="C120" s="204"/>
      <c r="D120" s="203"/>
      <c r="E120" s="205"/>
      <c r="F120" s="203"/>
    </row>
    <row r="121" outlineLevel="1">
      <c r="A121" s="201"/>
      <c r="B121" s="203"/>
      <c r="C121" s="204"/>
      <c r="D121" s="203"/>
      <c r="E121" s="205"/>
      <c r="F121" s="203"/>
    </row>
    <row r="122" outlineLevel="1">
      <c r="A122" s="201"/>
      <c r="B122" s="203"/>
      <c r="C122" s="204"/>
      <c r="D122" s="203"/>
      <c r="E122" s="205"/>
      <c r="F122" s="203"/>
    </row>
    <row r="123" outlineLevel="1">
      <c r="A123" s="201"/>
      <c r="B123" s="203"/>
      <c r="C123" s="204"/>
      <c r="D123" s="203"/>
      <c r="E123" s="205"/>
      <c r="F123" s="203"/>
    </row>
    <row r="124" outlineLevel="1">
      <c r="A124" s="201"/>
      <c r="B124" s="203"/>
      <c r="C124" s="204"/>
      <c r="D124" s="203"/>
      <c r="E124" s="203"/>
      <c r="F124" s="203"/>
    </row>
    <row r="125" outlineLevel="1">
      <c r="A125" s="201"/>
      <c r="B125" s="203"/>
      <c r="C125" s="204"/>
      <c r="D125" s="203"/>
      <c r="E125" s="205"/>
      <c r="F125" s="203"/>
    </row>
    <row r="126" outlineLevel="1">
      <c r="A126" s="201"/>
      <c r="B126" s="203"/>
      <c r="C126" s="204"/>
      <c r="D126" s="203"/>
      <c r="E126" s="205"/>
      <c r="F126" s="203"/>
    </row>
    <row r="127" outlineLevel="1">
      <c r="A127" s="201"/>
      <c r="B127" s="203"/>
      <c r="C127" s="204"/>
      <c r="D127" s="203"/>
      <c r="E127" s="205"/>
      <c r="F127" s="203"/>
    </row>
    <row r="128" outlineLevel="1">
      <c r="A128" s="201"/>
      <c r="B128" s="203"/>
      <c r="C128" s="204"/>
      <c r="D128" s="203"/>
      <c r="E128" s="205"/>
      <c r="F128" s="203"/>
    </row>
    <row r="129" outlineLevel="1">
      <c r="A129" s="201"/>
      <c r="B129" s="203"/>
      <c r="C129" s="204"/>
      <c r="D129" s="203"/>
      <c r="E129" s="205"/>
      <c r="F129" s="203"/>
    </row>
    <row r="130" outlineLevel="1">
      <c r="A130" s="201"/>
      <c r="B130" s="203"/>
      <c r="C130" s="204"/>
      <c r="D130" s="203"/>
      <c r="E130" s="205"/>
      <c r="F130" s="203"/>
    </row>
    <row r="131" outlineLevel="1">
      <c r="A131" s="201"/>
      <c r="B131" s="203"/>
      <c r="C131" s="204"/>
      <c r="D131" s="203"/>
      <c r="E131" s="205"/>
      <c r="F131" s="203"/>
    </row>
    <row r="132" outlineLevel="1">
      <c r="A132" s="201"/>
      <c r="B132" s="203"/>
      <c r="C132" s="204"/>
      <c r="D132" s="203"/>
      <c r="E132" s="205"/>
      <c r="F132" s="203"/>
    </row>
    <row r="133" outlineLevel="1">
      <c r="A133" s="206"/>
      <c r="B133" s="203"/>
      <c r="C133" s="204"/>
      <c r="D133" s="203"/>
      <c r="E133" s="205"/>
      <c r="F133" s="203"/>
    </row>
    <row r="134" outlineLevel="1">
      <c r="A134" s="206"/>
      <c r="B134" s="203"/>
      <c r="C134" s="204"/>
      <c r="D134" s="203"/>
      <c r="E134" s="205"/>
      <c r="F134" s="203"/>
    </row>
    <row r="135" outlineLevel="1">
      <c r="A135" s="206"/>
      <c r="B135" s="203"/>
      <c r="C135" s="204"/>
      <c r="D135" s="203"/>
      <c r="E135" s="205"/>
      <c r="F135" s="203"/>
    </row>
    <row r="136" outlineLevel="1">
      <c r="A136" s="206"/>
      <c r="B136" s="203"/>
      <c r="C136" s="204"/>
      <c r="D136" s="203"/>
      <c r="E136" s="205"/>
      <c r="F136" s="203"/>
    </row>
    <row r="137" outlineLevel="1">
      <c r="A137" s="206"/>
      <c r="B137" s="203"/>
      <c r="C137" s="204"/>
      <c r="D137" s="203"/>
      <c r="E137" s="205"/>
      <c r="F137" s="203"/>
    </row>
    <row r="138" outlineLevel="1">
      <c r="A138" s="206"/>
      <c r="B138" s="203"/>
      <c r="C138" s="204"/>
      <c r="D138" s="203"/>
      <c r="E138" s="205"/>
      <c r="F138" s="203"/>
    </row>
    <row r="139">
      <c r="A139" s="207"/>
      <c r="C139" s="208"/>
      <c r="D139" s="209"/>
      <c r="E139" s="210"/>
      <c r="F139" s="210"/>
    </row>
    <row r="140">
      <c r="A140" s="211"/>
      <c r="B140" s="83"/>
      <c r="C140" s="212"/>
      <c r="D140" s="213"/>
      <c r="E140" s="214"/>
      <c r="F140" s="214"/>
    </row>
    <row r="141">
      <c r="A141" s="211"/>
      <c r="B141" s="83"/>
      <c r="C141" s="212"/>
      <c r="D141" s="213"/>
      <c r="E141" s="214"/>
      <c r="F141" s="214"/>
    </row>
    <row r="142">
      <c r="A142" s="211"/>
      <c r="B142" s="83"/>
      <c r="C142" s="212"/>
      <c r="D142" s="213"/>
      <c r="E142" s="214"/>
      <c r="F142" s="214"/>
    </row>
    <row r="143">
      <c r="A143" s="211"/>
      <c r="B143" s="83"/>
      <c r="C143" s="212"/>
      <c r="D143" s="213"/>
      <c r="E143" s="214"/>
      <c r="F143" s="214"/>
    </row>
    <row r="144">
      <c r="A144" s="211"/>
      <c r="B144" s="83"/>
      <c r="C144" s="212"/>
      <c r="D144" s="213"/>
      <c r="E144" s="214"/>
      <c r="F144" s="214"/>
    </row>
    <row r="145">
      <c r="A145" s="211"/>
      <c r="B145" s="83"/>
      <c r="C145" s="212"/>
      <c r="D145" s="213"/>
      <c r="E145" s="214"/>
      <c r="F145" s="214"/>
    </row>
    <row r="146">
      <c r="A146" s="211"/>
      <c r="B146" s="83"/>
      <c r="C146" s="212"/>
      <c r="D146" s="213"/>
      <c r="E146" s="214"/>
      <c r="F146" s="214"/>
    </row>
    <row r="147">
      <c r="A147" s="211"/>
      <c r="B147" s="83"/>
      <c r="C147" s="212"/>
      <c r="D147" s="213"/>
      <c r="E147" s="214"/>
      <c r="F147" s="214"/>
    </row>
    <row r="148">
      <c r="A148" s="211"/>
      <c r="B148" s="83"/>
      <c r="C148" s="212"/>
      <c r="D148" s="213"/>
      <c r="E148" s="214"/>
      <c r="F148" s="214"/>
    </row>
    <row r="149">
      <c r="A149" s="211"/>
      <c r="B149" s="83"/>
      <c r="C149" s="212"/>
      <c r="D149" s="213"/>
      <c r="E149" s="214"/>
      <c r="F149" s="214"/>
    </row>
    <row r="150">
      <c r="A150" s="211"/>
      <c r="B150" s="83"/>
      <c r="C150" s="212"/>
      <c r="D150" s="213"/>
      <c r="E150" s="214"/>
      <c r="F150" s="214"/>
    </row>
    <row r="151">
      <c r="A151" s="211"/>
      <c r="B151" s="83"/>
      <c r="C151" s="212"/>
      <c r="D151" s="213"/>
      <c r="E151" s="214"/>
      <c r="F151" s="214"/>
    </row>
    <row r="152">
      <c r="A152" s="211"/>
      <c r="B152" s="83"/>
      <c r="C152" s="212"/>
      <c r="D152" s="215"/>
      <c r="E152" s="214"/>
      <c r="F152" s="214"/>
    </row>
    <row r="153">
      <c r="A153" s="211"/>
      <c r="B153" s="83"/>
      <c r="C153" s="212"/>
      <c r="D153" s="213"/>
      <c r="E153" s="214"/>
      <c r="F153" s="214"/>
    </row>
    <row r="154">
      <c r="A154" s="211"/>
      <c r="B154" s="83"/>
      <c r="C154" s="212"/>
      <c r="D154" s="213"/>
      <c r="E154" s="214"/>
      <c r="F154" s="214"/>
    </row>
    <row r="155">
      <c r="A155" s="211"/>
      <c r="B155" s="83"/>
      <c r="C155" s="212"/>
      <c r="D155" s="213"/>
      <c r="E155" s="214"/>
      <c r="F155" s="214"/>
    </row>
    <row r="156">
      <c r="A156" s="211"/>
      <c r="B156" s="83"/>
      <c r="C156" s="212"/>
      <c r="D156" s="213"/>
      <c r="E156" s="214"/>
      <c r="F156" s="214"/>
    </row>
    <row r="157">
      <c r="A157" s="211"/>
      <c r="B157" s="83"/>
      <c r="C157" s="212"/>
      <c r="D157" s="213"/>
      <c r="E157" s="214"/>
      <c r="F157" s="214"/>
    </row>
    <row r="158">
      <c r="A158" s="211"/>
      <c r="B158" s="83"/>
      <c r="C158" s="212"/>
      <c r="D158" s="213"/>
      <c r="E158" s="214"/>
      <c r="F158" s="214"/>
    </row>
    <row r="159">
      <c r="A159" s="211"/>
      <c r="B159" s="83"/>
      <c r="C159" s="212"/>
      <c r="D159" s="213"/>
      <c r="E159" s="214"/>
      <c r="F159" s="214"/>
    </row>
    <row r="160">
      <c r="A160" s="211"/>
      <c r="B160" s="83"/>
      <c r="C160" s="212"/>
      <c r="D160" s="213"/>
      <c r="E160" s="214"/>
      <c r="F160" s="214"/>
    </row>
    <row r="161">
      <c r="A161" s="211"/>
      <c r="B161" s="83"/>
      <c r="C161" s="212"/>
      <c r="D161" s="213"/>
      <c r="E161" s="214"/>
      <c r="F161" s="214"/>
    </row>
    <row r="162">
      <c r="A162" s="211"/>
      <c r="B162" s="83"/>
      <c r="C162" s="212"/>
      <c r="D162" s="213"/>
      <c r="E162" s="214"/>
      <c r="F162" s="214"/>
    </row>
    <row r="163">
      <c r="A163" s="211"/>
      <c r="B163" s="83"/>
      <c r="C163" s="212"/>
      <c r="D163" s="213"/>
      <c r="E163" s="214"/>
      <c r="F163" s="214"/>
    </row>
    <row r="164">
      <c r="A164" s="211"/>
      <c r="B164" s="83"/>
      <c r="C164" s="212"/>
      <c r="D164" s="213"/>
      <c r="E164" s="214"/>
      <c r="F164" s="214"/>
    </row>
    <row r="165">
      <c r="A165" s="211"/>
      <c r="B165" s="83"/>
      <c r="C165" s="212"/>
      <c r="D165" s="213"/>
      <c r="E165" s="214"/>
      <c r="F165" s="214"/>
    </row>
    <row r="166">
      <c r="A166" s="211"/>
      <c r="B166" s="83"/>
      <c r="C166" s="212"/>
      <c r="D166" s="213"/>
      <c r="E166" s="214"/>
      <c r="F166" s="214"/>
    </row>
    <row r="167">
      <c r="A167" s="211"/>
      <c r="B167" s="83"/>
      <c r="C167" s="212"/>
      <c r="D167" s="213"/>
      <c r="E167" s="214"/>
      <c r="F167" s="214"/>
    </row>
    <row r="168">
      <c r="A168" s="216"/>
      <c r="B168" s="83"/>
      <c r="C168" s="212"/>
      <c r="D168" s="213"/>
      <c r="E168" s="214"/>
      <c r="F168" s="214"/>
    </row>
    <row r="169">
      <c r="A169" s="216"/>
      <c r="B169" s="83"/>
      <c r="C169" s="212"/>
      <c r="D169" s="213"/>
      <c r="E169" s="214"/>
      <c r="F169" s="214"/>
    </row>
    <row r="170">
      <c r="A170" s="216"/>
      <c r="B170" s="83"/>
      <c r="C170" s="212"/>
      <c r="D170" s="213"/>
      <c r="E170" s="214"/>
      <c r="F170" s="214"/>
    </row>
    <row r="171">
      <c r="A171" s="216"/>
      <c r="B171" s="83"/>
      <c r="C171" s="212"/>
      <c r="D171" s="213"/>
      <c r="E171" s="214"/>
      <c r="F171" s="214"/>
    </row>
    <row r="172">
      <c r="A172" s="216"/>
      <c r="B172" s="83"/>
      <c r="C172" s="212"/>
      <c r="D172" s="213"/>
      <c r="E172" s="214"/>
      <c r="F172" s="214"/>
    </row>
    <row r="173">
      <c r="A173" s="216"/>
      <c r="B173" s="83"/>
      <c r="C173" s="212"/>
      <c r="D173" s="213"/>
      <c r="E173" s="214"/>
      <c r="F173" s="214"/>
    </row>
    <row r="174">
      <c r="A174" s="216"/>
      <c r="B174" s="83"/>
      <c r="C174" s="212"/>
      <c r="D174" s="213"/>
      <c r="E174" s="214"/>
      <c r="F174" s="214"/>
    </row>
    <row r="175">
      <c r="A175" s="216"/>
      <c r="B175" s="83"/>
      <c r="C175" s="212"/>
      <c r="D175" s="213"/>
      <c r="E175" s="214"/>
      <c r="F175" s="214"/>
    </row>
    <row r="176">
      <c r="A176" s="216"/>
      <c r="B176" s="83"/>
      <c r="C176" s="212"/>
      <c r="D176" s="213"/>
      <c r="E176" s="214"/>
      <c r="F176" s="214"/>
    </row>
    <row r="177">
      <c r="A177" s="216"/>
      <c r="B177" s="83"/>
      <c r="C177" s="212"/>
      <c r="D177" s="213"/>
      <c r="E177" s="214"/>
      <c r="F177" s="214"/>
    </row>
    <row r="178">
      <c r="A178" s="216"/>
      <c r="B178" s="83"/>
      <c r="C178" s="212"/>
      <c r="D178" s="213"/>
      <c r="E178" s="214"/>
      <c r="F178" s="214"/>
    </row>
    <row r="179">
      <c r="A179" s="216"/>
      <c r="B179" s="83"/>
      <c r="C179" s="212"/>
      <c r="D179" s="213"/>
      <c r="E179" s="214"/>
      <c r="F179" s="214"/>
    </row>
    <row r="180">
      <c r="A180" s="216"/>
      <c r="B180" s="83"/>
      <c r="C180" s="212"/>
      <c r="D180" s="213"/>
      <c r="E180" s="214"/>
      <c r="F180" s="214"/>
    </row>
    <row r="181">
      <c r="A181" s="216"/>
      <c r="B181" s="83"/>
      <c r="C181" s="212"/>
      <c r="D181" s="213"/>
      <c r="E181" s="214"/>
      <c r="F181" s="214"/>
    </row>
    <row r="182">
      <c r="A182" s="216"/>
      <c r="B182" s="83"/>
      <c r="C182" s="212"/>
      <c r="D182" s="213"/>
      <c r="E182" s="214"/>
      <c r="F182" s="214"/>
    </row>
    <row r="183">
      <c r="A183" s="216"/>
      <c r="B183" s="83"/>
      <c r="C183" s="212"/>
      <c r="D183" s="213"/>
      <c r="E183" s="214"/>
      <c r="F183" s="214"/>
    </row>
    <row r="184">
      <c r="A184" s="216"/>
      <c r="B184" s="83"/>
      <c r="C184" s="212"/>
      <c r="D184" s="213"/>
      <c r="E184" s="214"/>
      <c r="F184" s="214"/>
    </row>
    <row r="185">
      <c r="A185" s="216"/>
      <c r="B185" s="83"/>
      <c r="C185" s="212"/>
      <c r="D185" s="213"/>
      <c r="E185" s="214"/>
      <c r="F185" s="214"/>
    </row>
    <row r="186">
      <c r="A186" s="216"/>
      <c r="B186" s="83"/>
      <c r="C186" s="212"/>
      <c r="D186" s="213"/>
      <c r="E186" s="214"/>
      <c r="F186" s="214"/>
    </row>
    <row r="187">
      <c r="A187" s="216"/>
      <c r="B187" s="83"/>
      <c r="C187" s="212"/>
      <c r="D187" s="213"/>
      <c r="E187" s="214"/>
      <c r="F187" s="214"/>
    </row>
    <row r="188">
      <c r="A188" s="216"/>
      <c r="B188" s="83"/>
      <c r="C188" s="212"/>
      <c r="D188" s="213"/>
      <c r="E188" s="214"/>
      <c r="F188" s="214"/>
    </row>
    <row r="189">
      <c r="A189" s="216"/>
      <c r="B189" s="83"/>
      <c r="C189" s="212"/>
      <c r="D189" s="213"/>
      <c r="E189" s="214"/>
      <c r="F189" s="214"/>
    </row>
    <row r="190">
      <c r="A190" s="216"/>
      <c r="B190" s="83"/>
      <c r="C190" s="212"/>
      <c r="D190" s="213"/>
      <c r="E190" s="214"/>
      <c r="F190" s="214"/>
    </row>
    <row r="191">
      <c r="A191" s="216"/>
      <c r="B191" s="83"/>
      <c r="C191" s="212"/>
      <c r="D191" s="213"/>
      <c r="E191" s="214"/>
      <c r="F191" s="214"/>
    </row>
    <row r="192">
      <c r="A192" s="216"/>
      <c r="B192" s="83"/>
      <c r="C192" s="212"/>
      <c r="D192" s="213"/>
      <c r="E192" s="214"/>
      <c r="F192" s="214"/>
    </row>
    <row r="193">
      <c r="A193" s="216"/>
      <c r="B193" s="83"/>
      <c r="C193" s="212"/>
      <c r="D193" s="213"/>
      <c r="E193" s="214"/>
      <c r="F193" s="214"/>
    </row>
    <row r="194">
      <c r="A194" s="216"/>
      <c r="B194" s="83"/>
      <c r="C194" s="212"/>
      <c r="D194" s="213"/>
      <c r="E194" s="214"/>
      <c r="F194" s="214"/>
    </row>
    <row r="195">
      <c r="A195" s="216"/>
      <c r="B195" s="83"/>
      <c r="C195" s="212"/>
      <c r="D195" s="213"/>
      <c r="E195" s="214"/>
      <c r="F195" s="214"/>
    </row>
    <row r="196">
      <c r="A196" s="216"/>
      <c r="B196" s="83"/>
      <c r="C196" s="212"/>
      <c r="D196" s="213"/>
      <c r="E196" s="214"/>
      <c r="F196" s="214"/>
    </row>
    <row r="197">
      <c r="A197" s="216"/>
      <c r="B197" s="83"/>
      <c r="C197" s="212"/>
      <c r="D197" s="213"/>
      <c r="E197" s="214"/>
      <c r="F197" s="214"/>
    </row>
    <row r="198">
      <c r="A198" s="216"/>
      <c r="B198" s="83"/>
      <c r="C198" s="212"/>
      <c r="D198" s="213"/>
      <c r="E198" s="214"/>
      <c r="F198" s="214"/>
    </row>
    <row r="199">
      <c r="A199" s="216"/>
      <c r="B199" s="83"/>
      <c r="C199" s="212"/>
      <c r="D199" s="213"/>
      <c r="E199" s="214"/>
      <c r="F199" s="214"/>
    </row>
    <row r="200">
      <c r="A200" s="216"/>
      <c r="B200" s="83"/>
      <c r="C200" s="212"/>
      <c r="D200" s="213"/>
      <c r="E200" s="214"/>
      <c r="F200" s="214"/>
    </row>
    <row r="201">
      <c r="A201" s="216"/>
      <c r="B201" s="83"/>
      <c r="C201" s="212"/>
      <c r="D201" s="213"/>
      <c r="E201" s="214"/>
      <c r="F201" s="214"/>
    </row>
    <row r="202">
      <c r="A202" s="216"/>
      <c r="B202" s="83"/>
      <c r="C202" s="212"/>
      <c r="D202" s="213"/>
      <c r="E202" s="214"/>
      <c r="F202" s="214"/>
    </row>
    <row r="203">
      <c r="A203" s="216"/>
      <c r="B203" s="83"/>
      <c r="C203" s="212"/>
      <c r="D203" s="213"/>
      <c r="E203" s="214"/>
      <c r="F203" s="214"/>
    </row>
    <row r="204">
      <c r="A204" s="216"/>
      <c r="B204" s="83"/>
      <c r="C204" s="212"/>
      <c r="D204" s="213"/>
      <c r="E204" s="214"/>
      <c r="F204" s="214"/>
    </row>
    <row r="205">
      <c r="A205" s="216"/>
      <c r="B205" s="83"/>
      <c r="C205" s="212"/>
      <c r="D205" s="213"/>
      <c r="E205" s="214"/>
      <c r="F205" s="214"/>
    </row>
    <row r="206">
      <c r="A206" s="216"/>
      <c r="B206" s="83"/>
      <c r="C206" s="212"/>
      <c r="D206" s="213"/>
      <c r="E206" s="214"/>
      <c r="F206" s="214"/>
    </row>
    <row r="207">
      <c r="A207" s="216"/>
      <c r="B207" s="83"/>
      <c r="C207" s="212"/>
      <c r="D207" s="213"/>
      <c r="E207" s="214"/>
      <c r="F207" s="214"/>
    </row>
    <row r="208">
      <c r="A208" s="216"/>
      <c r="B208" s="83"/>
      <c r="C208" s="212"/>
      <c r="D208" s="213"/>
      <c r="E208" s="214"/>
      <c r="F208" s="214"/>
    </row>
    <row r="209">
      <c r="A209" s="216"/>
      <c r="B209" s="83"/>
      <c r="C209" s="212"/>
      <c r="D209" s="213"/>
      <c r="E209" s="214"/>
      <c r="F209" s="214"/>
    </row>
    <row r="210">
      <c r="A210" s="216"/>
      <c r="B210" s="83"/>
      <c r="C210" s="212"/>
      <c r="D210" s="213"/>
      <c r="E210" s="214"/>
      <c r="F210" s="214"/>
    </row>
    <row r="211">
      <c r="A211" s="216"/>
      <c r="B211" s="83"/>
      <c r="C211" s="212"/>
      <c r="D211" s="213"/>
      <c r="E211" s="214"/>
      <c r="F211" s="214"/>
    </row>
    <row r="212">
      <c r="A212" s="216"/>
      <c r="B212" s="83"/>
      <c r="C212" s="212"/>
      <c r="D212" s="213"/>
      <c r="E212" s="214"/>
      <c r="F212" s="214"/>
    </row>
    <row r="213">
      <c r="A213" s="216"/>
      <c r="B213" s="83"/>
      <c r="C213" s="212"/>
      <c r="D213" s="213"/>
      <c r="E213" s="214"/>
      <c r="F213" s="214"/>
    </row>
    <row r="214">
      <c r="A214" s="216"/>
      <c r="B214" s="83"/>
      <c r="C214" s="212"/>
      <c r="D214" s="213"/>
      <c r="E214" s="214"/>
      <c r="F214" s="214"/>
    </row>
    <row r="215">
      <c r="A215" s="216"/>
      <c r="B215" s="83"/>
      <c r="C215" s="212"/>
      <c r="D215" s="213"/>
      <c r="E215" s="214"/>
      <c r="F215" s="214"/>
    </row>
    <row r="216">
      <c r="A216" s="216"/>
      <c r="B216" s="83"/>
      <c r="C216" s="212"/>
      <c r="D216" s="213"/>
      <c r="E216" s="214"/>
      <c r="F216" s="214"/>
    </row>
    <row r="217">
      <c r="A217" s="216"/>
      <c r="B217" s="83"/>
      <c r="C217" s="212"/>
      <c r="D217" s="213"/>
      <c r="E217" s="214"/>
      <c r="F217" s="214"/>
    </row>
    <row r="218">
      <c r="A218" s="216"/>
      <c r="B218" s="83"/>
      <c r="C218" s="212"/>
      <c r="D218" s="213"/>
      <c r="E218" s="214"/>
      <c r="F218" s="214"/>
    </row>
    <row r="219">
      <c r="A219" s="216"/>
      <c r="B219" s="83"/>
      <c r="C219" s="212"/>
      <c r="D219" s="213"/>
      <c r="E219" s="214"/>
      <c r="F219" s="214"/>
    </row>
    <row r="220">
      <c r="A220" s="216"/>
      <c r="B220" s="83"/>
      <c r="C220" s="212"/>
      <c r="D220" s="213"/>
      <c r="E220" s="214"/>
      <c r="F220" s="214"/>
    </row>
    <row r="221">
      <c r="A221" s="216"/>
      <c r="B221" s="83"/>
      <c r="C221" s="212"/>
      <c r="D221" s="213"/>
      <c r="E221" s="214"/>
      <c r="F221" s="214"/>
    </row>
    <row r="222">
      <c r="A222" s="216"/>
      <c r="B222" s="83"/>
      <c r="C222" s="212"/>
      <c r="D222" s="213"/>
      <c r="E222" s="214"/>
      <c r="F222" s="214"/>
    </row>
    <row r="223">
      <c r="A223" s="216"/>
      <c r="B223" s="83"/>
      <c r="C223" s="212"/>
      <c r="D223" s="213"/>
      <c r="E223" s="214"/>
      <c r="F223" s="214"/>
    </row>
    <row r="224">
      <c r="A224" s="216"/>
      <c r="B224" s="83"/>
      <c r="C224" s="212"/>
      <c r="D224" s="213"/>
      <c r="E224" s="214"/>
      <c r="F224" s="214"/>
    </row>
    <row r="225">
      <c r="A225" s="216"/>
      <c r="B225" s="83"/>
      <c r="C225" s="212"/>
      <c r="D225" s="213"/>
      <c r="E225" s="214"/>
      <c r="F225" s="214"/>
    </row>
    <row r="226">
      <c r="A226" s="216"/>
      <c r="B226" s="83"/>
      <c r="C226" s="212"/>
      <c r="D226" s="213"/>
      <c r="E226" s="214"/>
      <c r="F226" s="214"/>
    </row>
    <row r="227">
      <c r="A227" s="216"/>
      <c r="B227" s="83"/>
      <c r="C227" s="212"/>
      <c r="D227" s="213"/>
      <c r="E227" s="214"/>
      <c r="F227" s="214"/>
    </row>
    <row r="228">
      <c r="A228" s="216"/>
      <c r="B228" s="83"/>
      <c r="C228" s="212"/>
      <c r="D228" s="213"/>
      <c r="E228" s="214"/>
      <c r="F228" s="214"/>
    </row>
    <row r="229">
      <c r="A229" s="216"/>
      <c r="B229" s="83"/>
      <c r="C229" s="212"/>
      <c r="D229" s="213"/>
      <c r="E229" s="214"/>
      <c r="F229" s="214"/>
    </row>
    <row r="230">
      <c r="A230" s="216"/>
      <c r="B230" s="83"/>
      <c r="C230" s="212"/>
      <c r="D230" s="213"/>
      <c r="E230" s="214"/>
      <c r="F230" s="214"/>
    </row>
    <row r="231">
      <c r="A231" s="216"/>
      <c r="B231" s="83"/>
      <c r="C231" s="212"/>
      <c r="D231" s="213"/>
      <c r="E231" s="214"/>
      <c r="F231" s="214"/>
    </row>
    <row r="232">
      <c r="A232" s="216"/>
      <c r="B232" s="83"/>
      <c r="C232" s="212"/>
      <c r="D232" s="213"/>
      <c r="E232" s="214"/>
      <c r="F232" s="214"/>
    </row>
    <row r="233">
      <c r="A233" s="216"/>
      <c r="B233" s="83"/>
      <c r="C233" s="212"/>
      <c r="D233" s="213"/>
      <c r="E233" s="214"/>
      <c r="F233" s="214"/>
    </row>
    <row r="234">
      <c r="A234" s="216"/>
      <c r="B234" s="83"/>
      <c r="C234" s="212"/>
      <c r="D234" s="213"/>
      <c r="E234" s="214"/>
      <c r="F234" s="214"/>
    </row>
    <row r="235">
      <c r="A235" s="216"/>
      <c r="B235" s="83"/>
      <c r="C235" s="212"/>
      <c r="D235" s="213"/>
      <c r="E235" s="214"/>
      <c r="F235" s="214"/>
    </row>
    <row r="236">
      <c r="A236" s="216"/>
      <c r="B236" s="83"/>
      <c r="C236" s="212"/>
      <c r="D236" s="213"/>
      <c r="E236" s="214"/>
      <c r="F236" s="214"/>
    </row>
    <row r="237">
      <c r="A237" s="216"/>
      <c r="B237" s="83"/>
      <c r="C237" s="212"/>
      <c r="D237" s="213"/>
      <c r="E237" s="214"/>
      <c r="F237" s="214"/>
    </row>
    <row r="238">
      <c r="A238" s="216"/>
      <c r="B238" s="83"/>
      <c r="C238" s="212"/>
      <c r="D238" s="213"/>
      <c r="E238" s="214"/>
      <c r="F238" s="214"/>
    </row>
    <row r="239">
      <c r="A239" s="216"/>
      <c r="B239" s="83"/>
      <c r="C239" s="212"/>
      <c r="D239" s="213"/>
      <c r="E239" s="214"/>
      <c r="F239" s="214"/>
    </row>
    <row r="240">
      <c r="A240" s="216"/>
      <c r="B240" s="83"/>
      <c r="C240" s="212"/>
      <c r="D240" s="213"/>
      <c r="E240" s="214"/>
      <c r="F240" s="214"/>
    </row>
    <row r="241">
      <c r="A241" s="216"/>
      <c r="B241" s="83"/>
      <c r="C241" s="212"/>
      <c r="D241" s="213"/>
      <c r="E241" s="214"/>
      <c r="F241" s="214"/>
    </row>
    <row r="242">
      <c r="A242" s="216"/>
      <c r="B242" s="83"/>
      <c r="C242" s="212"/>
      <c r="D242" s="213"/>
      <c r="E242" s="214"/>
      <c r="F242" s="214"/>
    </row>
    <row r="243">
      <c r="A243" s="216"/>
      <c r="B243" s="83"/>
      <c r="C243" s="212"/>
      <c r="D243" s="213"/>
      <c r="E243" s="214"/>
      <c r="F243" s="214"/>
    </row>
  </sheetData>
  <mergeCells count="1">
    <mergeCell ref="A1:E1"/>
  </mergeCells>
  <conditionalFormatting sqref="A139:F243">
    <cfRule type="notContainsBlanks" dxfId="0" priority="1">
      <formula>LEN(TRIM(A139))&gt;0</formula>
    </cfRule>
  </conditionalFormatting>
  <hyperlinks>
    <hyperlink r:id="rId1" ref="C80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4.38"/>
    <col customWidth="1" min="2" max="2" width="27.13"/>
    <col customWidth="1" min="3" max="3" width="46.38"/>
    <col customWidth="1" min="4" max="4" width="16.5"/>
    <col customWidth="1" min="5" max="5" width="12.38"/>
    <col customWidth="1" min="6" max="6" width="25.13"/>
  </cols>
  <sheetData>
    <row r="1">
      <c r="A1" s="217" t="str">
        <f>IFERROR(__xludf.DUMMYFUNCTION("importrange(""https://docs.google.com/spreadsheets/d/1lLUezGr04gttZmCjozdXOUr60iM6OX1ezrYWKwC1J1g/edit?gid=1274817499#gid=1274817499"",""VPA.Director!A:E"")"),"VPA Director Form Result - 양식 결과")</f>
        <v>VPA Director Form Result - 양식 결과</v>
      </c>
    </row>
    <row r="2">
      <c r="A2" s="218" t="str">
        <f>IFERROR(__xludf.DUMMYFUNCTION("""COMPUTED_VALUE"""),"Timestamp")</f>
        <v>Timestamp</v>
      </c>
      <c r="B2" s="219" t="str">
        <f>IFERROR(__xludf.DUMMYFUNCTION("""COMPUTED_VALUE"""),"1. Penalty &amp; Bonus Staff")</f>
        <v>1. Penalty &amp; Bonus Staff</v>
      </c>
      <c r="C2" s="194" t="str">
        <f>IFERROR(__xludf.DUMMYFUNCTION("""COMPUTED_VALUE"""),"2. Reason - 이유:")</f>
        <v>2. Reason - 이유:</v>
      </c>
      <c r="D2" s="194" t="str">
        <f>IFERROR(__xludf.DUMMYFUNCTION("""COMPUTED_VALUE"""),"3. Penalty Point (-) / Bonus Point (+) ")</f>
        <v>3. Penalty Point (-) / Bonus Point (+) </v>
      </c>
      <c r="E2" s="220" t="str">
        <f>IFERROR(__xludf.DUMMYFUNCTION("""COMPUTED_VALUE"""),"4. Note - 노트")</f>
        <v>4. Note - 노트</v>
      </c>
      <c r="F2" s="220"/>
    </row>
    <row r="3">
      <c r="A3" s="221">
        <f>IFERROR(__xludf.DUMMYFUNCTION("""COMPUTED_VALUE"""),44940.02086336806)</f>
        <v>44940.02086</v>
      </c>
      <c r="B3" s="197" t="str">
        <f>IFERROR(__xludf.DUMMYFUNCTION("""COMPUTED_VALUE"""),"GROUP - 200 - Tu Anh")</f>
        <v>GROUP - 200 - Tu Anh</v>
      </c>
      <c r="C3" s="197" t="str">
        <f>IFERROR(__xludf.DUMMYFUNCTION("""COMPUTED_VALUE"""),"Good control MT Skylake")</f>
        <v>Good control MT Skylake</v>
      </c>
      <c r="D3" s="197">
        <f>IFERROR(__xludf.DUMMYFUNCTION("""COMPUTED_VALUE"""),2.0)</f>
        <v>2</v>
      </c>
      <c r="E3" s="197"/>
    </row>
    <row r="4">
      <c r="A4" s="221">
        <f>IFERROR(__xludf.DUMMYFUNCTION("""COMPUTED_VALUE"""),44958.368237187504)</f>
        <v>44958.36824</v>
      </c>
      <c r="B4" s="197" t="str">
        <f>IFERROR(__xludf.DUMMYFUNCTION("""COMPUTED_VALUE"""),"VPA - 600 - Vu")</f>
        <v>VPA - 600 - Vu</v>
      </c>
      <c r="C4" s="197" t="str">
        <f>IFERROR(__xludf.DUMMYFUNCTION("""COMPUTED_VALUE"""),"Tích cực hỗ trợ mọi người dù là các việc ngoài chuyên môn")</f>
        <v>Tích cực hỗ trợ mọi người dù là các việc ngoài chuyên môn</v>
      </c>
      <c r="D4" s="197">
        <f>IFERROR(__xludf.DUMMYFUNCTION("""COMPUTED_VALUE"""),2.0)</f>
        <v>2</v>
      </c>
      <c r="E4" s="197"/>
    </row>
    <row r="5">
      <c r="A5" s="221">
        <f>IFERROR(__xludf.DUMMYFUNCTION("""COMPUTED_VALUE"""),44958.36881157407)</f>
        <v>44958.36881</v>
      </c>
      <c r="B5" s="197" t="str">
        <f>IFERROR(__xludf.DUMMYFUNCTION("""COMPUTED_VALUE"""),"VPA - Team Leader - Tan")</f>
        <v>VPA - Team Leader - Tan</v>
      </c>
      <c r="C5" s="197" t="str">
        <f>IFERROR(__xludf.DUMMYFUNCTION("""COMPUTED_VALUE"""),"Nghỉ ngày 29.1.2023 không có kế hoạch")</f>
        <v>Nghỉ ngày 29.1.2023 không có kế hoạch</v>
      </c>
      <c r="D5" s="197">
        <f>IFERROR(__xludf.DUMMYFUNCTION("""COMPUTED_VALUE"""),-1.0)</f>
        <v>-1</v>
      </c>
      <c r="E5" s="197"/>
    </row>
    <row r="6">
      <c r="A6" s="221">
        <f>IFERROR(__xludf.DUMMYFUNCTION("""COMPUTED_VALUE"""),44960.743508680556)</f>
        <v>44960.74351</v>
      </c>
      <c r="B6" s="197" t="str">
        <f>IFERROR(__xludf.DUMMYFUNCTION("""COMPUTED_VALUE"""),"GROUP - 300 - Hong")</f>
        <v>GROUP - 300 - Hong</v>
      </c>
      <c r="C6" s="197" t="str">
        <f>IFERROR(__xludf.DUMMYFUNCTION("""COMPUTED_VALUE"""),"Chịu khó làm thêm cho xong việc sau 5h30")</f>
        <v>Chịu khó làm thêm cho xong việc sau 5h30</v>
      </c>
      <c r="D6" s="197">
        <f>IFERROR(__xludf.DUMMYFUNCTION("""COMPUTED_VALUE"""),1.0)</f>
        <v>1</v>
      </c>
      <c r="E6" s="197"/>
    </row>
    <row r="7">
      <c r="A7" s="221">
        <f>IFERROR(__xludf.DUMMYFUNCTION("""COMPUTED_VALUE"""),44960.743893506944)</f>
        <v>44960.74389</v>
      </c>
      <c r="B7" s="197" t="str">
        <f>IFERROR(__xludf.DUMMYFUNCTION("""COMPUTED_VALUE"""),"GROUP - 300 - Sim")</f>
        <v>GROUP - 300 - Sim</v>
      </c>
      <c r="C7" s="197" t="str">
        <f>IFERROR(__xludf.DUMMYFUNCTION("""COMPUTED_VALUE"""),"Hoàn thành tốt báo cáo thuế cuối năm 2022 vpa đúng hạn")</f>
        <v>Hoàn thành tốt báo cáo thuế cuối năm 2022 vpa đúng hạn</v>
      </c>
      <c r="D7" s="197">
        <f>IFERROR(__xludf.DUMMYFUNCTION("""COMPUTED_VALUE"""),2.0)</f>
        <v>2</v>
      </c>
      <c r="E7" s="197"/>
    </row>
    <row r="8">
      <c r="A8" s="221">
        <f>IFERROR(__xludf.DUMMYFUNCTION("""COMPUTED_VALUE"""),44960.746721284726)</f>
        <v>44960.74672</v>
      </c>
      <c r="B8" s="197" t="str">
        <f>IFERROR(__xludf.DUMMYFUNCTION("""COMPUTED_VALUE"""),"GROUP - 500 - Duong")</f>
        <v>GROUP - 500 - Duong</v>
      </c>
      <c r="C8" s="197" t="str">
        <f>IFERROR(__xludf.DUMMYFUNCTION("""COMPUTED_VALUE"""),"Nộp báo giá thiếu")</f>
        <v>Nộp báo giá thiếu</v>
      </c>
      <c r="D8" s="197">
        <f>IFERROR(__xludf.DUMMYFUNCTION("""COMPUTED_VALUE"""),-1.0)</f>
        <v>-1</v>
      </c>
      <c r="E8" s="197"/>
    </row>
    <row r="9">
      <c r="A9" s="221">
        <f>IFERROR(__xludf.DUMMYFUNCTION("""COMPUTED_VALUE"""),44960.974342118054)</f>
        <v>44960.97434</v>
      </c>
      <c r="B9" s="197" t="str">
        <f>IFERROR(__xludf.DUMMYFUNCTION("""COMPUTED_VALUE"""),"GROUP - 500 - Thuy")</f>
        <v>GROUP - 500 - Thuy</v>
      </c>
      <c r="C9" s="197" t="str">
        <f>IFERROR(__xludf.DUMMYFUNCTION("""COMPUTED_VALUE"""),"Gửi nhầm báo giá cho người khác")</f>
        <v>Gửi nhầm báo giá cho người khác</v>
      </c>
      <c r="D9" s="197">
        <f>IFERROR(__xludf.DUMMYFUNCTION("""COMPUTED_VALUE"""),-1.0)</f>
        <v>-1</v>
      </c>
      <c r="E9" s="197"/>
    </row>
    <row r="10">
      <c r="A10" s="221">
        <f>IFERROR(__xludf.DUMMYFUNCTION("""COMPUTED_VALUE"""),44965.08689413195)</f>
        <v>44965.08689</v>
      </c>
      <c r="B10" s="197" t="str">
        <f>IFERROR(__xludf.DUMMYFUNCTION("""COMPUTED_VALUE"""),"VPA - 600 - Vu")</f>
        <v>VPA - 600 - Vu</v>
      </c>
      <c r="C10" s="197" t="str">
        <f>IFERROR(__xludf.DUMMYFUNCTION("""COMPUTED_VALUE"""),"Không làm báo cáo tuần PASG")</f>
        <v>Không làm báo cáo tuần PASG</v>
      </c>
      <c r="D10" s="197">
        <f>IFERROR(__xludf.DUMMYFUNCTION("""COMPUTED_VALUE"""),-1.0)</f>
        <v>-1</v>
      </c>
      <c r="E10" s="197"/>
    </row>
    <row r="11">
      <c r="A11" s="221">
        <f>IFERROR(__xludf.DUMMYFUNCTION("""COMPUTED_VALUE"""),44966.015228703705)</f>
        <v>44966.01523</v>
      </c>
      <c r="B11" s="197" t="str">
        <f>IFERROR(__xludf.DUMMYFUNCTION("""COMPUTED_VALUE"""),"VPA - Team Leader - Tan")</f>
        <v>VPA - Team Leader - Tan</v>
      </c>
      <c r="C11" s="197" t="str">
        <f>IFERROR(__xludf.DUMMYFUNCTION("""COMPUTED_VALUE"""),"Không đánh giá nhân viên tháng 1 (tim, bom)")</f>
        <v>Không đánh giá nhân viên tháng 1 (tim, bom)</v>
      </c>
      <c r="D11" s="197">
        <f>IFERROR(__xludf.DUMMYFUNCTION("""COMPUTED_VALUE"""),-2.0)</f>
        <v>-2</v>
      </c>
      <c r="E11" s="197"/>
    </row>
    <row r="12">
      <c r="A12" s="221">
        <f>IFERROR(__xludf.DUMMYFUNCTION("""COMPUTED_VALUE"""),44966.015507766206)</f>
        <v>44966.01551</v>
      </c>
      <c r="B12" s="197" t="str">
        <f>IFERROR(__xludf.DUMMYFUNCTION("""COMPUTED_VALUE"""),"VPA - Team Leader - Mui")</f>
        <v>VPA - Team Leader - Mui</v>
      </c>
      <c r="C12" s="197" t="str">
        <f>IFERROR(__xludf.DUMMYFUNCTION("""COMPUTED_VALUE"""),"Không đánh giá nhân viên tháng 1 (tim, bom)")</f>
        <v>Không đánh giá nhân viên tháng 1 (tim, bom)</v>
      </c>
      <c r="D12" s="197">
        <f>IFERROR(__xludf.DUMMYFUNCTION("""COMPUTED_VALUE"""),-2.0)</f>
        <v>-2</v>
      </c>
      <c r="E12" s="197"/>
    </row>
    <row r="13">
      <c r="A13" s="221">
        <f>IFERROR(__xludf.DUMMYFUNCTION("""COMPUTED_VALUE"""),44966.01580645834)</f>
        <v>44966.01581</v>
      </c>
      <c r="B13" s="197" t="str">
        <f>IFERROR(__xludf.DUMMYFUNCTION("""COMPUTED_VALUE"""),"GROUP - 300 - Lien")</f>
        <v>GROUP - 300 - Lien</v>
      </c>
      <c r="C13" s="197" t="str">
        <f>IFERROR(__xludf.DUMMYFUNCTION("""COMPUTED_VALUE"""),"Không đánh giá nhân viên tháng 1 (tim, bom)")</f>
        <v>Không đánh giá nhân viên tháng 1 (tim, bom)</v>
      </c>
      <c r="D13" s="197">
        <f>IFERROR(__xludf.DUMMYFUNCTION("""COMPUTED_VALUE"""),-2.0)</f>
        <v>-2</v>
      </c>
      <c r="E13" s="197"/>
    </row>
    <row r="14">
      <c r="A14" s="221">
        <f>IFERROR(__xludf.DUMMYFUNCTION("""COMPUTED_VALUE"""),44966.01602297454)</f>
        <v>44966.01602</v>
      </c>
      <c r="B14" s="197" t="str">
        <f>IFERROR(__xludf.DUMMYFUNCTION("""COMPUTED_VALUE"""),"GROUP - 500 - Thuy")</f>
        <v>GROUP - 500 - Thuy</v>
      </c>
      <c r="C14" s="197" t="str">
        <f>IFERROR(__xludf.DUMMYFUNCTION("""COMPUTED_VALUE"""),"Không đánh giá nhân viên tháng 1 (tim, bom)")</f>
        <v>Không đánh giá nhân viên tháng 1 (tim, bom)</v>
      </c>
      <c r="D14" s="197">
        <f>IFERROR(__xludf.DUMMYFUNCTION("""COMPUTED_VALUE"""),-2.0)</f>
        <v>-2</v>
      </c>
      <c r="E14" s="197"/>
    </row>
    <row r="15">
      <c r="A15" s="221">
        <f>IFERROR(__xludf.DUMMYFUNCTION("""COMPUTED_VALUE"""),44968.83939995371)</f>
        <v>44968.8394</v>
      </c>
      <c r="B15" s="197" t="str">
        <f>IFERROR(__xludf.DUMMYFUNCTION("""COMPUTED_VALUE"""),"VPA - 600 - Thoai")</f>
        <v>VPA - 600 - Thoai</v>
      </c>
      <c r="C15" s="197" t="str">
        <f>IFERROR(__xludf.DUMMYFUNCTION("""COMPUTED_VALUE"""),"Goodjob")</f>
        <v>Goodjob</v>
      </c>
      <c r="D15" s="197">
        <f>IFERROR(__xludf.DUMMYFUNCTION("""COMPUTED_VALUE"""),1.0)</f>
        <v>1</v>
      </c>
      <c r="E15" s="197"/>
    </row>
    <row r="16">
      <c r="A16" s="221">
        <f>IFERROR(__xludf.DUMMYFUNCTION("""COMPUTED_VALUE"""),44968.84101344907)</f>
        <v>44968.84101</v>
      </c>
      <c r="B16" s="197" t="str">
        <f>IFERROR(__xludf.DUMMYFUNCTION("""COMPUTED_VALUE"""),"GROUP - 500 - Thuy")</f>
        <v>GROUP - 500 - Thuy</v>
      </c>
      <c r="C16" s="197" t="str">
        <f>IFERROR(__xludf.DUMMYFUNCTION("""COMPUTED_VALUE"""),"Làm tốt báo giá phát sinh CQ NĐR")</f>
        <v>Làm tốt báo giá phát sinh CQ NĐR</v>
      </c>
      <c r="D16" s="197">
        <f>IFERROR(__xludf.DUMMYFUNCTION("""COMPUTED_VALUE"""),1.0)</f>
        <v>1</v>
      </c>
      <c r="E16" s="197"/>
    </row>
    <row r="17">
      <c r="A17" s="221">
        <f>IFERROR(__xludf.DUMMYFUNCTION("""COMPUTED_VALUE"""),44968.842262245365)</f>
        <v>44968.84226</v>
      </c>
      <c r="B17" s="197" t="str">
        <f>IFERROR(__xludf.DUMMYFUNCTION("""COMPUTED_VALUE"""),"GROUP - 300 - Lien")</f>
        <v>GROUP - 300 - Lien</v>
      </c>
      <c r="C17" s="197" t="str">
        <f>IFERROR(__xludf.DUMMYFUNCTION("""COMPUTED_VALUE"""),"Xử lý lương chậm cho mọi người")</f>
        <v>Xử lý lương chậm cho mọi người</v>
      </c>
      <c r="D17" s="197">
        <f>IFERROR(__xludf.DUMMYFUNCTION("""COMPUTED_VALUE"""),-1.0)</f>
        <v>-1</v>
      </c>
      <c r="E17" s="197"/>
    </row>
    <row r="18">
      <c r="A18" s="221">
        <f>IFERROR(__xludf.DUMMYFUNCTION("""COMPUTED_VALUE"""),44977.36865916666)</f>
        <v>44977.36866</v>
      </c>
      <c r="B18" s="197" t="str">
        <f>IFERROR(__xludf.DUMMYFUNCTION("""COMPUTED_VALUE"""),"VPA - 600 - Vu")</f>
        <v>VPA - 600 - Vu</v>
      </c>
      <c r="C18" s="197" t="str">
        <f>IFERROR(__xludf.DUMMYFUNCTION("""COMPUTED_VALUE"""),"Có sáng kiến hay khi tích hợp google vào chat")</f>
        <v>Có sáng kiến hay khi tích hợp google vào chat</v>
      </c>
      <c r="D18" s="197">
        <f>IFERROR(__xludf.DUMMYFUNCTION("""COMPUTED_VALUE"""),2.0)</f>
        <v>2</v>
      </c>
      <c r="E18" s="197"/>
    </row>
    <row r="19" collapsed="1">
      <c r="A19" s="221">
        <f>IFERROR(__xludf.DUMMYFUNCTION("""COMPUTED_VALUE"""),44977.36974648148)</f>
        <v>44977.36975</v>
      </c>
      <c r="B19" s="197" t="str">
        <f>IFERROR(__xludf.DUMMYFUNCTION("""COMPUTED_VALUE"""),"GROUP - 500 - Thuy")</f>
        <v>GROUP - 500 - Thuy</v>
      </c>
      <c r="C19" s="197" t="str">
        <f>IFERROR(__xludf.DUMMYFUNCTION("""COMPUTED_VALUE"""),"Đàm phán giá phát sinh Núi đầu rồng tốt, có lợi cho VPA")</f>
        <v>Đàm phán giá phát sinh Núi đầu rồng tốt, có lợi cho VPA</v>
      </c>
      <c r="D19" s="197">
        <f>IFERROR(__xludf.DUMMYFUNCTION("""COMPUTED_VALUE"""),2.0)</f>
        <v>2</v>
      </c>
      <c r="E19" s="197"/>
    </row>
    <row r="20" hidden="1" outlineLevel="1">
      <c r="A20" s="221">
        <f>IFERROR(__xludf.DUMMYFUNCTION("""COMPUTED_VALUE"""),44922.39170740741)</f>
        <v>44922.39171</v>
      </c>
      <c r="B20" s="197" t="str">
        <f>IFERROR(__xludf.DUMMYFUNCTION("""COMPUTED_VALUE"""),"GROUP - 200 - Tu Anh")</f>
        <v>GROUP - 200 - Tu Anh</v>
      </c>
      <c r="C20" s="197" t="str">
        <f>IFERROR(__xludf.DUMMYFUNCTION("""COMPUTED_VALUE"""),"Good finish Insuarance Problem from Gov")</f>
        <v>Good finish Insuarance Problem from Gov</v>
      </c>
      <c r="D20" s="197">
        <f>IFERROR(__xludf.DUMMYFUNCTION("""COMPUTED_VALUE"""),2.0)</f>
        <v>2</v>
      </c>
      <c r="E20" s="197" t="str">
        <f>IFERROR(__xludf.DUMMYFUNCTION("""COMPUTED_VALUE"""),"Mr Lam")</f>
        <v>Mr Lam</v>
      </c>
    </row>
    <row r="21" hidden="1" outlineLevel="1">
      <c r="A21" s="221">
        <f>IFERROR(__xludf.DUMMYFUNCTION("""COMPUTED_VALUE"""),44922.393274849535)</f>
        <v>44922.39327</v>
      </c>
      <c r="B21" s="197" t="str">
        <f>IFERROR(__xludf.DUMMYFUNCTION("""COMPUTED_VALUE"""),"VPA - Team Leader - Tan")</f>
        <v>VPA - Team Leader - Tan</v>
      </c>
      <c r="C21" s="197" t="str">
        <f>IFERROR(__xludf.DUMMYFUNCTION("""COMPUTED_VALUE"""),"Dont make weekly offline meeting")</f>
        <v>Dont make weekly offline meeting</v>
      </c>
      <c r="D21" s="197">
        <f>IFERROR(__xludf.DUMMYFUNCTION("""COMPUTED_VALUE"""),-1.0)</f>
        <v>-1</v>
      </c>
      <c r="E21" s="197"/>
    </row>
    <row r="22" hidden="1" outlineLevel="1">
      <c r="A22" s="221">
        <f>IFERROR(__xludf.DUMMYFUNCTION("""COMPUTED_VALUE"""),44922.39555947916)</f>
        <v>44922.39556</v>
      </c>
      <c r="B22" s="197" t="str">
        <f>IFERROR(__xludf.DUMMYFUNCTION("""COMPUTED_VALUE"""),"GROUP - 500 - Thuy")</f>
        <v>GROUP - 500 - Thuy</v>
      </c>
      <c r="C22" s="197" t="str">
        <f>IFERROR(__xludf.DUMMYFUNCTION("""COMPUTED_VALUE"""),"Quickly finish Design BOQ for all project, never late")</f>
        <v>Quickly finish Design BOQ for all project, never late</v>
      </c>
      <c r="D22" s="197">
        <f>IFERROR(__xludf.DUMMYFUNCTION("""COMPUTED_VALUE"""),2.0)</f>
        <v>2</v>
      </c>
      <c r="E22" s="197"/>
    </row>
    <row r="23" hidden="1" outlineLevel="1">
      <c r="A23" s="221">
        <f>IFERROR(__xludf.DUMMYFUNCTION("""COMPUTED_VALUE"""),44922.397350694446)</f>
        <v>44922.39735</v>
      </c>
      <c r="B23" s="197" t="str">
        <f>IFERROR(__xludf.DUMMYFUNCTION("""COMPUTED_VALUE"""),"VPA - Team Leader - Mui")</f>
        <v>VPA - Team Leader - Mui</v>
      </c>
      <c r="C23" s="197" t="str">
        <f>IFERROR(__xludf.DUMMYFUNCTION("""COMPUTED_VALUE"""),"We need more from you about leading skill")</f>
        <v>We need more from you about leading skill</v>
      </c>
      <c r="D23" s="197">
        <f>IFERROR(__xludf.DUMMYFUNCTION("""COMPUTED_VALUE"""),-1.0)</f>
        <v>-1</v>
      </c>
      <c r="E23" s="197"/>
    </row>
    <row r="24">
      <c r="A24" s="222"/>
      <c r="B24" s="223"/>
      <c r="C24" s="224"/>
      <c r="D24" s="215"/>
      <c r="E24" s="214"/>
      <c r="F24" s="214"/>
    </row>
    <row r="25">
      <c r="A25" s="83"/>
      <c r="B25" s="83"/>
      <c r="C25" s="212"/>
      <c r="D25" s="213"/>
      <c r="E25" s="214"/>
      <c r="F25" s="214"/>
    </row>
    <row r="26">
      <c r="A26" s="83"/>
      <c r="B26" s="83"/>
      <c r="C26" s="212"/>
      <c r="D26" s="213"/>
      <c r="E26" s="214"/>
      <c r="F26" s="214"/>
    </row>
    <row r="27">
      <c r="A27" s="83"/>
      <c r="B27" s="83"/>
      <c r="C27" s="212"/>
      <c r="D27" s="213"/>
      <c r="E27" s="214"/>
      <c r="F27" s="214"/>
    </row>
    <row r="28">
      <c r="A28" s="83"/>
      <c r="B28" s="83"/>
      <c r="C28" s="212"/>
      <c r="D28" s="213"/>
      <c r="E28" s="214"/>
      <c r="F28" s="214"/>
    </row>
    <row r="29">
      <c r="A29" s="83"/>
      <c r="B29" s="83"/>
      <c r="C29" s="212"/>
      <c r="D29" s="213"/>
      <c r="E29" s="214"/>
      <c r="F29" s="214"/>
    </row>
    <row r="30">
      <c r="A30" s="83"/>
      <c r="B30" s="83"/>
      <c r="C30" s="212"/>
      <c r="D30" s="213"/>
      <c r="E30" s="214"/>
      <c r="F30" s="214"/>
    </row>
    <row r="31">
      <c r="A31" s="83"/>
      <c r="B31" s="83"/>
      <c r="C31" s="212"/>
      <c r="D31" s="213"/>
      <c r="E31" s="214"/>
      <c r="F31" s="214"/>
    </row>
    <row r="32">
      <c r="A32" s="83"/>
      <c r="B32" s="83"/>
      <c r="C32" s="212"/>
      <c r="D32" s="213"/>
      <c r="E32" s="214"/>
      <c r="F32" s="214"/>
    </row>
    <row r="33">
      <c r="A33" s="83"/>
      <c r="B33" s="83"/>
      <c r="C33" s="212"/>
      <c r="D33" s="213"/>
      <c r="E33" s="214"/>
      <c r="F33" s="214"/>
    </row>
    <row r="34">
      <c r="A34" s="83"/>
      <c r="B34" s="83"/>
      <c r="C34" s="212"/>
      <c r="D34" s="213"/>
      <c r="E34" s="214"/>
      <c r="F34" s="214"/>
    </row>
    <row r="35">
      <c r="A35" s="83"/>
      <c r="B35" s="83"/>
      <c r="C35" s="212"/>
      <c r="D35" s="213"/>
      <c r="E35" s="214"/>
      <c r="F35" s="214"/>
    </row>
    <row r="36">
      <c r="A36" s="83"/>
      <c r="B36" s="83"/>
      <c r="C36" s="212"/>
      <c r="D36" s="213"/>
      <c r="E36" s="214"/>
      <c r="F36" s="214"/>
    </row>
    <row r="37">
      <c r="A37" s="83"/>
      <c r="B37" s="83"/>
      <c r="C37" s="212"/>
      <c r="D37" s="213"/>
      <c r="E37" s="214"/>
      <c r="F37" s="214"/>
    </row>
    <row r="38">
      <c r="A38" s="83"/>
      <c r="B38" s="83"/>
      <c r="C38" s="212"/>
      <c r="D38" s="213"/>
      <c r="E38" s="214"/>
      <c r="F38" s="214"/>
    </row>
    <row r="39">
      <c r="A39" s="83"/>
      <c r="B39" s="83"/>
      <c r="C39" s="212"/>
      <c r="D39" s="213"/>
      <c r="E39" s="214"/>
      <c r="F39" s="214"/>
    </row>
    <row r="40">
      <c r="A40" s="83"/>
      <c r="B40" s="83"/>
      <c r="C40" s="212"/>
      <c r="D40" s="213"/>
      <c r="E40" s="214"/>
      <c r="F40" s="214"/>
    </row>
    <row r="41">
      <c r="A41" s="83"/>
      <c r="B41" s="83"/>
      <c r="C41" s="212"/>
      <c r="D41" s="213"/>
      <c r="E41" s="214"/>
      <c r="F41" s="214"/>
    </row>
    <row r="42">
      <c r="A42" s="83"/>
      <c r="B42" s="83"/>
      <c r="C42" s="212"/>
      <c r="D42" s="213"/>
      <c r="E42" s="214"/>
      <c r="F42" s="214"/>
    </row>
    <row r="43">
      <c r="A43" s="83"/>
      <c r="B43" s="83"/>
      <c r="C43" s="212"/>
      <c r="D43" s="213"/>
      <c r="E43" s="214"/>
      <c r="F43" s="214"/>
    </row>
    <row r="44">
      <c r="A44" s="83"/>
      <c r="B44" s="83"/>
      <c r="C44" s="212"/>
      <c r="D44" s="213"/>
      <c r="E44" s="214"/>
      <c r="F44" s="214"/>
    </row>
    <row r="45">
      <c r="A45" s="83"/>
      <c r="B45" s="83"/>
      <c r="C45" s="212"/>
      <c r="D45" s="213"/>
      <c r="E45" s="214"/>
      <c r="F45" s="214"/>
    </row>
    <row r="46">
      <c r="A46" s="83"/>
      <c r="B46" s="83"/>
      <c r="C46" s="212"/>
      <c r="D46" s="213"/>
      <c r="E46" s="214"/>
      <c r="F46" s="214"/>
    </row>
    <row r="47">
      <c r="A47" s="83"/>
      <c r="B47" s="83"/>
      <c r="C47" s="212"/>
      <c r="D47" s="213"/>
      <c r="E47" s="214"/>
      <c r="F47" s="214"/>
    </row>
    <row r="48">
      <c r="A48" s="83"/>
      <c r="B48" s="83"/>
      <c r="C48" s="212"/>
      <c r="D48" s="213"/>
      <c r="E48" s="214"/>
      <c r="F48" s="214"/>
    </row>
    <row r="49">
      <c r="A49" s="83"/>
      <c r="B49" s="83"/>
      <c r="C49" s="212"/>
      <c r="D49" s="213"/>
      <c r="E49" s="214"/>
      <c r="F49" s="214"/>
    </row>
    <row r="50">
      <c r="A50" s="83"/>
      <c r="B50" s="83"/>
      <c r="C50" s="212"/>
      <c r="D50" s="213"/>
      <c r="E50" s="214"/>
      <c r="F50" s="214"/>
    </row>
    <row r="51">
      <c r="A51" s="83"/>
      <c r="B51" s="83"/>
      <c r="C51" s="212"/>
      <c r="D51" s="213"/>
      <c r="E51" s="214"/>
      <c r="F51" s="214"/>
    </row>
    <row r="52">
      <c r="A52" s="83"/>
      <c r="B52" s="83"/>
      <c r="C52" s="212"/>
      <c r="D52" s="213"/>
      <c r="E52" s="214"/>
      <c r="F52" s="214"/>
    </row>
    <row r="53">
      <c r="A53" s="83"/>
      <c r="B53" s="83"/>
      <c r="C53" s="212"/>
      <c r="D53" s="213"/>
      <c r="E53" s="214"/>
      <c r="F53" s="214"/>
    </row>
    <row r="54">
      <c r="A54" s="83"/>
      <c r="B54" s="83"/>
      <c r="C54" s="212"/>
      <c r="D54" s="213"/>
      <c r="E54" s="214"/>
      <c r="F54" s="214"/>
    </row>
    <row r="55">
      <c r="A55" s="83"/>
      <c r="B55" s="83"/>
      <c r="C55" s="212"/>
      <c r="D55" s="213"/>
      <c r="E55" s="214"/>
      <c r="F55" s="214"/>
    </row>
    <row r="56">
      <c r="A56" s="83"/>
      <c r="B56" s="83"/>
      <c r="C56" s="212"/>
      <c r="D56" s="213"/>
      <c r="E56" s="214"/>
      <c r="F56" s="214"/>
    </row>
    <row r="57">
      <c r="A57" s="83"/>
      <c r="B57" s="83"/>
      <c r="C57" s="212"/>
      <c r="D57" s="213"/>
      <c r="E57" s="214"/>
      <c r="F57" s="214"/>
    </row>
    <row r="58">
      <c r="A58" s="83"/>
      <c r="B58" s="83"/>
      <c r="C58" s="212"/>
      <c r="D58" s="213"/>
      <c r="E58" s="214"/>
      <c r="F58" s="214"/>
    </row>
    <row r="59">
      <c r="A59" s="83"/>
      <c r="B59" s="83"/>
      <c r="C59" s="212"/>
      <c r="D59" s="213"/>
      <c r="E59" s="214"/>
      <c r="F59" s="214"/>
    </row>
    <row r="60">
      <c r="A60" s="83"/>
      <c r="B60" s="83"/>
      <c r="C60" s="212"/>
      <c r="D60" s="213"/>
      <c r="E60" s="214"/>
      <c r="F60" s="214"/>
    </row>
    <row r="61">
      <c r="A61" s="83"/>
      <c r="B61" s="83"/>
      <c r="C61" s="212"/>
      <c r="D61" s="213"/>
      <c r="E61" s="214"/>
      <c r="F61" s="214"/>
    </row>
    <row r="62">
      <c r="A62" s="83"/>
      <c r="B62" s="83"/>
      <c r="C62" s="212"/>
      <c r="D62" s="213"/>
      <c r="E62" s="214"/>
      <c r="F62" s="214"/>
    </row>
    <row r="63">
      <c r="A63" s="83"/>
      <c r="B63" s="83"/>
      <c r="C63" s="212"/>
      <c r="D63" s="213"/>
      <c r="E63" s="214"/>
      <c r="F63" s="214"/>
    </row>
    <row r="64">
      <c r="A64" s="83"/>
      <c r="B64" s="83"/>
      <c r="C64" s="212"/>
      <c r="D64" s="213"/>
      <c r="E64" s="214"/>
      <c r="F64" s="214"/>
    </row>
    <row r="65">
      <c r="A65" s="83"/>
      <c r="B65" s="83"/>
      <c r="C65" s="212"/>
      <c r="D65" s="213"/>
      <c r="E65" s="214"/>
      <c r="F65" s="214"/>
    </row>
    <row r="66">
      <c r="A66" s="83"/>
      <c r="B66" s="83"/>
      <c r="C66" s="212"/>
      <c r="D66" s="213"/>
      <c r="E66" s="214"/>
      <c r="F66" s="214"/>
    </row>
    <row r="67">
      <c r="A67" s="83"/>
      <c r="B67" s="83"/>
      <c r="C67" s="212"/>
      <c r="D67" s="213"/>
      <c r="E67" s="214"/>
      <c r="F67" s="214"/>
    </row>
    <row r="68">
      <c r="A68" s="83"/>
      <c r="B68" s="83"/>
      <c r="C68" s="212"/>
      <c r="D68" s="213"/>
      <c r="E68" s="214"/>
      <c r="F68" s="214"/>
    </row>
    <row r="69">
      <c r="A69" s="83"/>
      <c r="B69" s="83"/>
      <c r="C69" s="212"/>
      <c r="D69" s="213"/>
      <c r="E69" s="214"/>
      <c r="F69" s="214"/>
    </row>
    <row r="70">
      <c r="A70" s="83"/>
      <c r="B70" s="83"/>
      <c r="C70" s="212"/>
      <c r="D70" s="213"/>
      <c r="E70" s="214"/>
      <c r="F70" s="214"/>
    </row>
    <row r="71">
      <c r="A71" s="83"/>
      <c r="B71" s="83"/>
      <c r="C71" s="212"/>
      <c r="D71" s="213"/>
      <c r="E71" s="214"/>
      <c r="F71" s="214"/>
    </row>
    <row r="72">
      <c r="A72" s="83"/>
      <c r="B72" s="83"/>
      <c r="C72" s="212"/>
      <c r="D72" s="213"/>
      <c r="E72" s="214"/>
      <c r="F72" s="214"/>
    </row>
    <row r="73">
      <c r="A73" s="83"/>
      <c r="B73" s="83"/>
      <c r="C73" s="212"/>
      <c r="D73" s="213"/>
      <c r="E73" s="214"/>
      <c r="F73" s="214"/>
    </row>
    <row r="74">
      <c r="A74" s="83"/>
      <c r="B74" s="83"/>
      <c r="C74" s="212"/>
      <c r="D74" s="213"/>
      <c r="E74" s="214"/>
      <c r="F74" s="214"/>
    </row>
    <row r="75">
      <c r="A75" s="83"/>
      <c r="B75" s="83"/>
      <c r="C75" s="212"/>
      <c r="D75" s="213"/>
      <c r="E75" s="214"/>
      <c r="F75" s="214"/>
    </row>
    <row r="76">
      <c r="A76" s="83"/>
      <c r="B76" s="83"/>
      <c r="C76" s="212"/>
      <c r="D76" s="213"/>
      <c r="E76" s="214"/>
      <c r="F76" s="214"/>
    </row>
    <row r="77">
      <c r="A77" s="83"/>
      <c r="B77" s="83"/>
      <c r="C77" s="212"/>
      <c r="D77" s="213"/>
      <c r="E77" s="214"/>
      <c r="F77" s="214"/>
    </row>
    <row r="78">
      <c r="A78" s="83"/>
      <c r="B78" s="83"/>
      <c r="C78" s="212"/>
      <c r="D78" s="213"/>
      <c r="E78" s="214"/>
      <c r="F78" s="214"/>
    </row>
    <row r="79">
      <c r="A79" s="83"/>
      <c r="B79" s="83"/>
      <c r="C79" s="212"/>
      <c r="D79" s="213"/>
      <c r="E79" s="214"/>
      <c r="F79" s="214"/>
    </row>
    <row r="80">
      <c r="A80" s="83"/>
      <c r="B80" s="83"/>
      <c r="C80" s="212"/>
      <c r="D80" s="213"/>
      <c r="E80" s="214"/>
      <c r="F80" s="214"/>
    </row>
    <row r="81">
      <c r="A81" s="83"/>
      <c r="B81" s="83"/>
      <c r="C81" s="212"/>
      <c r="D81" s="213"/>
      <c r="E81" s="214"/>
      <c r="F81" s="214"/>
    </row>
    <row r="82">
      <c r="A82" s="83"/>
      <c r="B82" s="83"/>
      <c r="C82" s="212"/>
      <c r="D82" s="213"/>
      <c r="E82" s="214"/>
      <c r="F82" s="214"/>
    </row>
    <row r="83">
      <c r="A83" s="83"/>
      <c r="B83" s="83"/>
      <c r="C83" s="212"/>
      <c r="D83" s="213"/>
      <c r="E83" s="214"/>
      <c r="F83" s="214"/>
    </row>
    <row r="84">
      <c r="A84" s="83"/>
      <c r="B84" s="83"/>
      <c r="C84" s="212"/>
      <c r="D84" s="213"/>
      <c r="E84" s="214"/>
      <c r="F84" s="214"/>
    </row>
    <row r="85">
      <c r="A85" s="83"/>
      <c r="B85" s="83"/>
      <c r="C85" s="212"/>
      <c r="D85" s="213"/>
      <c r="E85" s="214"/>
      <c r="F85" s="214"/>
    </row>
    <row r="86">
      <c r="A86" s="83"/>
      <c r="B86" s="83"/>
      <c r="C86" s="212"/>
      <c r="D86" s="213"/>
      <c r="E86" s="214"/>
      <c r="F86" s="214"/>
    </row>
    <row r="87">
      <c r="A87" s="83"/>
      <c r="B87" s="83"/>
      <c r="C87" s="212"/>
      <c r="D87" s="213"/>
      <c r="E87" s="214"/>
      <c r="F87" s="214"/>
    </row>
    <row r="88">
      <c r="A88" s="83"/>
      <c r="B88" s="83"/>
      <c r="C88" s="212"/>
      <c r="D88" s="213"/>
      <c r="E88" s="214"/>
      <c r="F88" s="214"/>
    </row>
    <row r="89">
      <c r="A89" s="83"/>
      <c r="B89" s="83"/>
      <c r="C89" s="212"/>
      <c r="D89" s="213"/>
      <c r="E89" s="214"/>
      <c r="F89" s="214"/>
    </row>
    <row r="90">
      <c r="A90" s="83"/>
      <c r="B90" s="83"/>
      <c r="C90" s="212"/>
      <c r="D90" s="213"/>
      <c r="E90" s="214"/>
      <c r="F90" s="214"/>
    </row>
    <row r="91">
      <c r="A91" s="83"/>
      <c r="B91" s="83"/>
      <c r="C91" s="212"/>
      <c r="D91" s="213"/>
      <c r="E91" s="214"/>
      <c r="F91" s="214"/>
    </row>
    <row r="92">
      <c r="A92" s="83"/>
      <c r="B92" s="83"/>
      <c r="C92" s="212"/>
      <c r="D92" s="213"/>
      <c r="E92" s="214"/>
      <c r="F92" s="214"/>
    </row>
    <row r="93">
      <c r="A93" s="83"/>
      <c r="B93" s="83"/>
      <c r="C93" s="212"/>
      <c r="D93" s="213"/>
      <c r="E93" s="214"/>
      <c r="F93" s="214"/>
    </row>
    <row r="94">
      <c r="A94" s="83"/>
      <c r="B94" s="83"/>
      <c r="C94" s="212"/>
      <c r="D94" s="213"/>
      <c r="E94" s="214"/>
      <c r="F94" s="214"/>
    </row>
    <row r="95">
      <c r="A95" s="83"/>
      <c r="B95" s="83"/>
      <c r="C95" s="212"/>
      <c r="D95" s="213"/>
      <c r="E95" s="214"/>
      <c r="F95" s="214"/>
    </row>
    <row r="96">
      <c r="A96" s="83"/>
      <c r="B96" s="83"/>
      <c r="C96" s="212"/>
      <c r="D96" s="213"/>
      <c r="E96" s="214"/>
      <c r="F96" s="214"/>
    </row>
    <row r="97">
      <c r="A97" s="83"/>
      <c r="B97" s="83"/>
      <c r="C97" s="212"/>
      <c r="D97" s="213"/>
      <c r="E97" s="214"/>
      <c r="F97" s="214"/>
    </row>
    <row r="98">
      <c r="A98" s="83"/>
      <c r="B98" s="83"/>
      <c r="C98" s="212"/>
      <c r="D98" s="213"/>
      <c r="E98" s="214"/>
      <c r="F98" s="214"/>
    </row>
    <row r="99">
      <c r="A99" s="83"/>
      <c r="B99" s="83"/>
      <c r="C99" s="212"/>
      <c r="D99" s="213"/>
      <c r="E99" s="214"/>
      <c r="F99" s="214"/>
    </row>
    <row r="100">
      <c r="A100" s="83"/>
      <c r="B100" s="83"/>
      <c r="C100" s="212"/>
      <c r="D100" s="213"/>
      <c r="E100" s="214"/>
      <c r="F100" s="214"/>
    </row>
    <row r="101">
      <c r="A101" s="83"/>
      <c r="B101" s="83"/>
      <c r="C101" s="212"/>
      <c r="D101" s="213"/>
      <c r="E101" s="214"/>
      <c r="F101" s="214"/>
    </row>
    <row r="102">
      <c r="A102" s="83"/>
      <c r="B102" s="83"/>
      <c r="C102" s="212"/>
      <c r="D102" s="213"/>
      <c r="E102" s="214"/>
      <c r="F102" s="214"/>
    </row>
    <row r="103">
      <c r="A103" s="83"/>
      <c r="B103" s="83"/>
      <c r="C103" s="212"/>
      <c r="D103" s="213"/>
      <c r="E103" s="214"/>
      <c r="F103" s="214"/>
    </row>
    <row r="104">
      <c r="A104" s="83"/>
      <c r="B104" s="83"/>
      <c r="C104" s="212"/>
      <c r="D104" s="213"/>
      <c r="E104" s="214"/>
      <c r="F104" s="214"/>
    </row>
    <row r="105">
      <c r="A105" s="83"/>
      <c r="B105" s="83"/>
      <c r="C105" s="212"/>
      <c r="D105" s="213"/>
      <c r="E105" s="214"/>
      <c r="F105" s="214"/>
    </row>
    <row r="106">
      <c r="A106" s="83"/>
      <c r="B106" s="83"/>
      <c r="C106" s="212"/>
      <c r="D106" s="213"/>
      <c r="E106" s="214"/>
      <c r="F106" s="214"/>
    </row>
    <row r="107">
      <c r="A107" s="83"/>
      <c r="B107" s="83"/>
      <c r="C107" s="212"/>
      <c r="D107" s="213"/>
      <c r="E107" s="214"/>
      <c r="F107" s="214"/>
    </row>
    <row r="108">
      <c r="A108" s="83"/>
      <c r="B108" s="83"/>
      <c r="C108" s="212"/>
      <c r="D108" s="213"/>
      <c r="E108" s="214"/>
      <c r="F108" s="214"/>
    </row>
    <row r="109">
      <c r="A109" s="83"/>
      <c r="B109" s="83"/>
      <c r="C109" s="212"/>
      <c r="D109" s="213"/>
      <c r="E109" s="214"/>
      <c r="F109" s="214"/>
    </row>
    <row r="110">
      <c r="A110" s="83"/>
      <c r="B110" s="83"/>
      <c r="C110" s="212"/>
      <c r="D110" s="213"/>
      <c r="E110" s="214"/>
      <c r="F110" s="214"/>
    </row>
    <row r="111">
      <c r="A111" s="83"/>
      <c r="B111" s="83"/>
      <c r="C111" s="212"/>
      <c r="D111" s="213"/>
      <c r="E111" s="214"/>
      <c r="F111" s="214"/>
    </row>
    <row r="112">
      <c r="A112" s="83"/>
      <c r="B112" s="83"/>
      <c r="C112" s="212"/>
      <c r="D112" s="213"/>
      <c r="E112" s="214"/>
      <c r="F112" s="214"/>
    </row>
    <row r="113">
      <c r="A113" s="83"/>
      <c r="B113" s="83"/>
      <c r="C113" s="212"/>
      <c r="D113" s="213"/>
      <c r="E113" s="214"/>
      <c r="F113" s="214"/>
    </row>
    <row r="114">
      <c r="A114" s="83"/>
      <c r="B114" s="83"/>
      <c r="C114" s="212"/>
      <c r="D114" s="213"/>
      <c r="E114" s="214"/>
      <c r="F114" s="214"/>
    </row>
    <row r="115">
      <c r="A115" s="83"/>
      <c r="B115" s="83"/>
      <c r="C115" s="212"/>
      <c r="D115" s="213"/>
      <c r="E115" s="214"/>
      <c r="F115" s="214"/>
    </row>
    <row r="116">
      <c r="A116" s="83"/>
      <c r="B116" s="83"/>
      <c r="C116" s="212"/>
      <c r="D116" s="213"/>
      <c r="E116" s="214"/>
      <c r="F116" s="214"/>
    </row>
  </sheetData>
  <autoFilter ref="$A$2:$F$23"/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8.88"/>
    <col customWidth="1" min="2" max="2" width="27.88"/>
    <col customWidth="1" min="3" max="3" width="55.25"/>
    <col customWidth="1" min="4" max="4" width="21.63"/>
    <col customWidth="1" min="5" max="6" width="18.88"/>
  </cols>
  <sheetData>
    <row r="1">
      <c r="A1" s="225" t="str">
        <f>IFERROR(__xludf.DUMMYFUNCTION("importrange(""https://docs.google.com/spreadsheets/d/1lLUezGr04gttZmCjozdXOUr60iM6OX1ezrYWKwC1J1g/edit?gid=1274817499#gid=1274817499"",""000!A:E"")"),"000 Form Result - 양식 결과")</f>
        <v>000 Form Result - 양식 결과</v>
      </c>
      <c r="F1" s="191"/>
    </row>
    <row r="2" collapsed="1">
      <c r="A2" s="218" t="str">
        <f>IFERROR(__xludf.DUMMYFUNCTION("""COMPUTED_VALUE"""),"Timestamp")</f>
        <v>Timestamp</v>
      </c>
      <c r="B2" s="226" t="str">
        <f>IFERROR(__xludf.DUMMYFUNCTION("""COMPUTED_VALUE"""),"1. Penalty &amp; Bonus Staff")</f>
        <v>1. Penalty &amp; Bonus Staff</v>
      </c>
      <c r="C2" s="194" t="str">
        <f>IFERROR(__xludf.DUMMYFUNCTION("""COMPUTED_VALUE"""),"2. Reason - 이유:")</f>
        <v>2. Reason - 이유:</v>
      </c>
      <c r="D2" s="220" t="str">
        <f>IFERROR(__xludf.DUMMYFUNCTION("""COMPUTED_VALUE"""),"3. Penalty Point (-) / Bonus Point (+) ")</f>
        <v>3. Penalty Point (-) / Bonus Point (+) </v>
      </c>
      <c r="E2" s="220" t="str">
        <f>IFERROR(__xludf.DUMMYFUNCTION("""COMPUTED_VALUE"""),"4. Note - 노트")</f>
        <v>4. Note - 노트</v>
      </c>
      <c r="F2" s="220"/>
    </row>
    <row r="3" hidden="1" outlineLevel="1">
      <c r="A3" s="227">
        <f>IFERROR(__xludf.DUMMYFUNCTION("""COMPUTED_VALUE"""),44873.38618269676)</f>
        <v>44873.38618</v>
      </c>
      <c r="B3" s="228" t="str">
        <f>IFERROR(__xludf.DUMMYFUNCTION("""COMPUTED_VALUE"""),"GROUP - 000-100 - Luat")</f>
        <v>GROUP - 000-100 - Luat</v>
      </c>
      <c r="C3" s="229" t="str">
        <f>IFERROR(__xludf.DUMMYFUNCTION("""COMPUTED_VALUE"""),"주간 보고서 파일을 보내는 것을 잊으십시오")</f>
        <v>주간 보고서 파일을 보내는 것을 잊으십시오</v>
      </c>
      <c r="D3" s="228">
        <f>IFERROR(__xludf.DUMMYFUNCTION("""COMPUTED_VALUE"""),-1.0)</f>
        <v>-1</v>
      </c>
      <c r="E3" s="230"/>
      <c r="F3" s="228"/>
    </row>
    <row r="4" hidden="1" outlineLevel="1">
      <c r="A4" s="227">
        <f>IFERROR(__xludf.DUMMYFUNCTION("""COMPUTED_VALUE"""),44873.39630346065)</f>
        <v>44873.3963</v>
      </c>
      <c r="B4" s="228" t="str">
        <f>IFERROR(__xludf.DUMMYFUNCTION("""COMPUTED_VALUE"""),"GROUP - 200 - Tu Anh")</f>
        <v>GROUP - 200 - Tu Anh</v>
      </c>
      <c r="C4" s="229" t="str">
        <f>IFERROR(__xludf.DUMMYFUNCTION("""COMPUTED_VALUE"""),"주간 보고서 파일을 보내는 것을 잊으십시오")</f>
        <v>주간 보고서 파일을 보내는 것을 잊으십시오</v>
      </c>
      <c r="D4" s="228">
        <f>IFERROR(__xludf.DUMMYFUNCTION("""COMPUTED_VALUE"""),0.0)</f>
        <v>0</v>
      </c>
      <c r="E4" s="230"/>
      <c r="F4" s="228"/>
    </row>
    <row r="5" hidden="1" outlineLevel="1">
      <c r="A5" s="227">
        <f>IFERROR(__xludf.DUMMYFUNCTION("""COMPUTED_VALUE"""),44904.38487891204)</f>
        <v>44904.38488</v>
      </c>
      <c r="B5" s="228" t="str">
        <f>IFERROR(__xludf.DUMMYFUNCTION("""COMPUTED_VALUE"""),"GROUP - 500 - Thuy")</f>
        <v>GROUP - 500 - Thuy</v>
      </c>
      <c r="C5" s="229" t="str">
        <f>IFERROR(__xludf.DUMMYFUNCTION("""COMPUTED_VALUE"""),"Quên báo cáo tuần - weekly report (8/12/22)")</f>
        <v>Quên báo cáo tuần - weekly report (8/12/22)</v>
      </c>
      <c r="D5" s="228">
        <f>IFERROR(__xludf.DUMMYFUNCTION("""COMPUTED_VALUE"""),-1.0)</f>
        <v>-1</v>
      </c>
      <c r="E5" s="230"/>
      <c r="F5" s="228"/>
    </row>
    <row r="6" ht="15.0" hidden="1" customHeight="1">
      <c r="A6" s="227">
        <f>IFERROR(__xludf.DUMMYFUNCTION("""COMPUTED_VALUE"""),44931.469017627314)</f>
        <v>44931.46902</v>
      </c>
      <c r="B6" s="228" t="str">
        <f>IFERROR(__xludf.DUMMYFUNCTION("""COMPUTED_VALUE"""),"GROUP - 000-100 - Hieu")</f>
        <v>GROUP - 000-100 - Hieu</v>
      </c>
      <c r="C6" s="229" t="str">
        <f>IFERROR(__xludf.DUMMYFUNCTION("""COMPUTED_VALUE"""),"Hoàn thiện tốt form kiểm soát kết quả đào tạo")</f>
        <v>Hoàn thiện tốt form kiểm soát kết quả đào tạo</v>
      </c>
      <c r="D6" s="228">
        <f>IFERROR(__xludf.DUMMYFUNCTION("""COMPUTED_VALUE"""),1.0)</f>
        <v>1</v>
      </c>
      <c r="E6" s="230"/>
      <c r="F6" s="228"/>
    </row>
    <row r="7" hidden="1">
      <c r="A7" s="227">
        <f>IFERROR(__xludf.DUMMYFUNCTION("""COMPUTED_VALUE"""),44932.58984181713)</f>
        <v>44932.58984</v>
      </c>
      <c r="B7" s="228" t="str">
        <f>IFERROR(__xludf.DUMMYFUNCTION("""COMPUTED_VALUE"""),"GROUP - 000-100 - Hieu")</f>
        <v>GROUP - 000-100 - Hieu</v>
      </c>
      <c r="C7" s="229" t="str">
        <f>IFERROR(__xludf.DUMMYFUNCTION("""COMPUTED_VALUE"""),"Hoàn thiện câu hỏi đào tạo và kết nối tốt vào form theo dõi kết quả test")</f>
        <v>Hoàn thiện câu hỏi đào tạo và kết nối tốt vào form theo dõi kết quả test</v>
      </c>
      <c r="D7" s="228">
        <f>IFERROR(__xludf.DUMMYFUNCTION("""COMPUTED_VALUE"""),1.0)</f>
        <v>1</v>
      </c>
      <c r="E7" s="230"/>
      <c r="F7" s="228"/>
    </row>
    <row r="8" hidden="1">
      <c r="A8" s="227">
        <f>IFERROR(__xludf.DUMMYFUNCTION("""COMPUTED_VALUE"""),44957.46398390047)</f>
        <v>44957.46398</v>
      </c>
      <c r="B8" s="228" t="str">
        <f>IFERROR(__xludf.DUMMYFUNCTION("""COMPUTED_VALUE"""),"GROUP - 200 - Tu Anh")</f>
        <v>GROUP - 200 - Tu Anh</v>
      </c>
      <c r="C8" s="229" t="str">
        <f>IFERROR(__xludf.DUMMYFUNCTION("""COMPUTED_VALUE"""),"Not confirm Boss message on 7/1")</f>
        <v>Not confirm Boss message on 7/1</v>
      </c>
      <c r="D8" s="228">
        <f>IFERROR(__xludf.DUMMYFUNCTION("""COMPUTED_VALUE"""),-1.0)</f>
        <v>-1</v>
      </c>
      <c r="E8" s="230"/>
      <c r="F8" s="228"/>
    </row>
    <row r="9" hidden="1">
      <c r="A9" s="227">
        <f>IFERROR(__xludf.DUMMYFUNCTION("""COMPUTED_VALUE"""),44957.464152071756)</f>
        <v>44957.46415</v>
      </c>
      <c r="B9" s="228" t="str">
        <f>IFERROR(__xludf.DUMMYFUNCTION("""COMPUTED_VALUE"""),"GROUP - 200 - Tu Anh")</f>
        <v>GROUP - 200 - Tu Anh</v>
      </c>
      <c r="C9" s="229" t="str">
        <f>IFERROR(__xludf.DUMMYFUNCTION("""COMPUTED_VALUE"""),"Not confirm Boss message on 17/1")</f>
        <v>Not confirm Boss message on 17/1</v>
      </c>
      <c r="D9" s="228">
        <f>IFERROR(__xludf.DUMMYFUNCTION("""COMPUTED_VALUE"""),-1.0)</f>
        <v>-1</v>
      </c>
      <c r="E9" s="230"/>
      <c r="F9" s="228"/>
    </row>
    <row r="10" hidden="1">
      <c r="A10" s="227">
        <f>IFERROR(__xludf.DUMMYFUNCTION("""COMPUTED_VALUE"""),44957.464312337965)</f>
        <v>44957.46431</v>
      </c>
      <c r="B10" s="228" t="str">
        <f>IFERROR(__xludf.DUMMYFUNCTION("""COMPUTED_VALUE"""),"GROUP - 000-100 - Hieu")</f>
        <v>GROUP - 000-100 - Hieu</v>
      </c>
      <c r="C10" s="229" t="str">
        <f>IFERROR(__xludf.DUMMYFUNCTION("""COMPUTED_VALUE"""),"Not confirm Boss message on 7/1")</f>
        <v>Not confirm Boss message on 7/1</v>
      </c>
      <c r="D10" s="228">
        <f>IFERROR(__xludf.DUMMYFUNCTION("""COMPUTED_VALUE"""),-1.0)</f>
        <v>-1</v>
      </c>
      <c r="E10" s="230"/>
      <c r="F10" s="228"/>
    </row>
    <row r="11" hidden="1">
      <c r="A11" s="227">
        <f>IFERROR(__xludf.DUMMYFUNCTION("""COMPUTED_VALUE"""),44957.46445408565)</f>
        <v>44957.46445</v>
      </c>
      <c r="B11" s="228" t="str">
        <f>IFERROR(__xludf.DUMMYFUNCTION("""COMPUTED_VALUE"""),"GROUP - 000-100 - Hieu")</f>
        <v>GROUP - 000-100 - Hieu</v>
      </c>
      <c r="C11" s="229" t="str">
        <f>IFERROR(__xludf.DUMMYFUNCTION("""COMPUTED_VALUE"""),"Not confirm Boss message on 17/1")</f>
        <v>Not confirm Boss message on 17/1</v>
      </c>
      <c r="D11" s="228">
        <f>IFERROR(__xludf.DUMMYFUNCTION("""COMPUTED_VALUE"""),-1.0)</f>
        <v>-1</v>
      </c>
      <c r="E11" s="230"/>
      <c r="F11" s="228"/>
    </row>
    <row r="12" hidden="1">
      <c r="A12" s="227">
        <f>IFERROR(__xludf.DUMMYFUNCTION("""COMPUTED_VALUE"""),44957.464665520834)</f>
        <v>44957.46467</v>
      </c>
      <c r="B12" s="228" t="str">
        <f>IFERROR(__xludf.DUMMYFUNCTION("""COMPUTED_VALUE"""),"GROUP - 500 - Duong")</f>
        <v>GROUP - 500 - Duong</v>
      </c>
      <c r="C12" s="229" t="str">
        <f>IFERROR(__xludf.DUMMYFUNCTION("""COMPUTED_VALUE"""),"Not confirm Boss message on 7/1")</f>
        <v>Not confirm Boss message on 7/1</v>
      </c>
      <c r="D12" s="228">
        <f>IFERROR(__xludf.DUMMYFUNCTION("""COMPUTED_VALUE"""),-1.0)</f>
        <v>-1</v>
      </c>
      <c r="E12" s="230"/>
      <c r="F12" s="228"/>
    </row>
    <row r="13" hidden="1">
      <c r="A13" s="227">
        <f>IFERROR(__xludf.DUMMYFUNCTION("""COMPUTED_VALUE"""),44957.4648297338)</f>
        <v>44957.46483</v>
      </c>
      <c r="B13" s="228" t="str">
        <f>IFERROR(__xludf.DUMMYFUNCTION("""COMPUTED_VALUE"""),"VPA - Lam - Vice Director")</f>
        <v>VPA - Lam - Vice Director</v>
      </c>
      <c r="C13" s="229" t="str">
        <f>IFERROR(__xludf.DUMMYFUNCTION("""COMPUTED_VALUE"""),"Not confirm Boss message on 7/1")</f>
        <v>Not confirm Boss message on 7/1</v>
      </c>
      <c r="D13" s="228">
        <f>IFERROR(__xludf.DUMMYFUNCTION("""COMPUTED_VALUE"""),-1.0)</f>
        <v>-1</v>
      </c>
      <c r="E13" s="230"/>
      <c r="F13" s="228"/>
    </row>
    <row r="14" hidden="1">
      <c r="A14" s="227">
        <f>IFERROR(__xludf.DUMMYFUNCTION("""COMPUTED_VALUE"""),44957.465098437504)</f>
        <v>44957.4651</v>
      </c>
      <c r="B14" s="228" t="str">
        <f>IFERROR(__xludf.DUMMYFUNCTION("""COMPUTED_VALUE"""),"VPA - 600 - Phuong")</f>
        <v>VPA - 600 - Phuong</v>
      </c>
      <c r="C14" s="229" t="str">
        <f>IFERROR(__xludf.DUMMYFUNCTION("""COMPUTED_VALUE"""),"Not confirm Boss message on 7/1")</f>
        <v>Not confirm Boss message on 7/1</v>
      </c>
      <c r="D14" s="228">
        <f>IFERROR(__xludf.DUMMYFUNCTION("""COMPUTED_VALUE"""),-1.0)</f>
        <v>-1</v>
      </c>
      <c r="E14" s="230"/>
      <c r="F14" s="228"/>
    </row>
    <row r="15" hidden="1">
      <c r="A15" s="227">
        <f>IFERROR(__xludf.DUMMYFUNCTION("""COMPUTED_VALUE"""),44957.46533644676)</f>
        <v>44957.46534</v>
      </c>
      <c r="B15" s="228" t="str">
        <f>IFERROR(__xludf.DUMMYFUNCTION("""COMPUTED_VALUE"""),"VPA - 600 - Nhung")</f>
        <v>VPA - 600 - Nhung</v>
      </c>
      <c r="C15" s="229" t="str">
        <f>IFERROR(__xludf.DUMMYFUNCTION("""COMPUTED_VALUE"""),"Not confirm Boss message on 7/1")</f>
        <v>Not confirm Boss message on 7/1</v>
      </c>
      <c r="D15" s="228">
        <f>IFERROR(__xludf.DUMMYFUNCTION("""COMPUTED_VALUE"""),-1.0)</f>
        <v>-1</v>
      </c>
      <c r="E15" s="230"/>
      <c r="F15" s="228"/>
    </row>
    <row r="16" hidden="1">
      <c r="A16" s="227">
        <f>IFERROR(__xludf.DUMMYFUNCTION("""COMPUTED_VALUE"""),44957.46554265046)</f>
        <v>44957.46554</v>
      </c>
      <c r="B16" s="228" t="str">
        <f>IFERROR(__xludf.DUMMYFUNCTION("""COMPUTED_VALUE"""),"VPA - 600 - Nhung")</f>
        <v>VPA - 600 - Nhung</v>
      </c>
      <c r="C16" s="229" t="str">
        <f>IFERROR(__xludf.DUMMYFUNCTION("""COMPUTED_VALUE"""),"Not confirm Boss message on 17/1")</f>
        <v>Not confirm Boss message on 17/1</v>
      </c>
      <c r="D16" s="228">
        <f>IFERROR(__xludf.DUMMYFUNCTION("""COMPUTED_VALUE"""),-1.0)</f>
        <v>-1</v>
      </c>
      <c r="E16" s="230"/>
      <c r="F16" s="228"/>
    </row>
    <row r="17" hidden="1">
      <c r="A17" s="227">
        <f>IFERROR(__xludf.DUMMYFUNCTION("""COMPUTED_VALUE"""),44957.465760590276)</f>
        <v>44957.46576</v>
      </c>
      <c r="B17" s="228" t="str">
        <f>IFERROR(__xludf.DUMMYFUNCTION("""COMPUTED_VALUE"""),"VPA - 600 - Kieu Anh")</f>
        <v>VPA - 600 - Kieu Anh</v>
      </c>
      <c r="C17" s="229" t="str">
        <f>IFERROR(__xludf.DUMMYFUNCTION("""COMPUTED_VALUE"""),"Not confirm Boss message on 7/1")</f>
        <v>Not confirm Boss message on 7/1</v>
      </c>
      <c r="D17" s="228">
        <f>IFERROR(__xludf.DUMMYFUNCTION("""COMPUTED_VALUE"""),-1.0)</f>
        <v>-1</v>
      </c>
      <c r="E17" s="230"/>
      <c r="F17" s="228"/>
    </row>
    <row r="18" hidden="1">
      <c r="A18" s="227">
        <f>IFERROR(__xludf.DUMMYFUNCTION("""COMPUTED_VALUE"""),44957.46648017361)</f>
        <v>44957.46648</v>
      </c>
      <c r="B18" s="228" t="str">
        <f>IFERROR(__xludf.DUMMYFUNCTION("""COMPUTED_VALUE"""),"ADC - Site Manager - Thuyet")</f>
        <v>ADC - Site Manager - Thuyet</v>
      </c>
      <c r="C18" s="229" t="str">
        <f>IFERROR(__xludf.DUMMYFUNCTION("""COMPUTED_VALUE"""),"Not confirm Boss message on 7/1")</f>
        <v>Not confirm Boss message on 7/1</v>
      </c>
      <c r="D18" s="228">
        <f>IFERROR(__xludf.DUMMYFUNCTION("""COMPUTED_VALUE"""),-1.0)</f>
        <v>-1</v>
      </c>
      <c r="E18" s="230"/>
      <c r="F18" s="228"/>
    </row>
    <row r="19" hidden="1">
      <c r="A19" s="227">
        <f>IFERROR(__xludf.DUMMYFUNCTION("""COMPUTED_VALUE"""),44957.46658547454)</f>
        <v>44957.46659</v>
      </c>
      <c r="B19" s="228" t="str">
        <f>IFERROR(__xludf.DUMMYFUNCTION("""COMPUTED_VALUE"""),"ADC - Site Manager - Thuyet")</f>
        <v>ADC - Site Manager - Thuyet</v>
      </c>
      <c r="C19" s="229" t="str">
        <f>IFERROR(__xludf.DUMMYFUNCTION("""COMPUTED_VALUE"""),"Not confirm Boss message on 17/1")</f>
        <v>Not confirm Boss message on 17/1</v>
      </c>
      <c r="D19" s="228">
        <f>IFERROR(__xludf.DUMMYFUNCTION("""COMPUTED_VALUE"""),-1.0)</f>
        <v>-1</v>
      </c>
      <c r="E19" s="230"/>
      <c r="F19" s="228"/>
    </row>
    <row r="20" hidden="1">
      <c r="A20" s="227">
        <f>IFERROR(__xludf.DUMMYFUNCTION("""COMPUTED_VALUE"""),44957.467756053244)</f>
        <v>44957.46776</v>
      </c>
      <c r="B20" s="228" t="str">
        <f>IFERROR(__xludf.DUMMYFUNCTION("""COMPUTED_VALUE"""),"VPA - 600 - Giang")</f>
        <v>VPA - 600 - Giang</v>
      </c>
      <c r="C20" s="229" t="str">
        <f>IFERROR(__xludf.DUMMYFUNCTION("""COMPUTED_VALUE"""),"Not confirm Boss' message on 17/1")</f>
        <v>Not confirm Boss' message on 17/1</v>
      </c>
      <c r="D20" s="228">
        <f>IFERROR(__xludf.DUMMYFUNCTION("""COMPUTED_VALUE"""),-1.0)</f>
        <v>-1</v>
      </c>
      <c r="E20" s="230"/>
      <c r="F20" s="228"/>
    </row>
    <row r="21" hidden="1">
      <c r="A21" s="227">
        <f>IFERROR(__xludf.DUMMYFUNCTION("""COMPUTED_VALUE"""),44957.46787987268)</f>
        <v>44957.46788</v>
      </c>
      <c r="B21" s="228" t="str">
        <f>IFERROR(__xludf.DUMMYFUNCTION("""COMPUTED_VALUE"""),"VPA - 600 - Thoai")</f>
        <v>VPA - 600 - Thoai</v>
      </c>
      <c r="C21" s="229" t="str">
        <f>IFERROR(__xludf.DUMMYFUNCTION("""COMPUTED_VALUE"""),"Not confirm Boss' message on 17/1")</f>
        <v>Not confirm Boss' message on 17/1</v>
      </c>
      <c r="D21" s="228">
        <f>IFERROR(__xludf.DUMMYFUNCTION("""COMPUTED_VALUE"""),-1.0)</f>
        <v>-1</v>
      </c>
      <c r="E21" s="230"/>
      <c r="F21" s="228"/>
    </row>
    <row r="22" hidden="1">
      <c r="A22" s="227">
        <f>IFERROR(__xludf.DUMMYFUNCTION("""COMPUTED_VALUE"""),44957.575795729164)</f>
        <v>44957.5758</v>
      </c>
      <c r="B22" s="228" t="str">
        <f>IFERROR(__xludf.DUMMYFUNCTION("""COMPUTED_VALUE"""),"GROUP - 000-100 - Luat")</f>
        <v>GROUP - 000-100 - Luat</v>
      </c>
      <c r="C22" s="229" t="str">
        <f>IFERROR(__xludf.DUMMYFUNCTION("""COMPUTED_VALUE"""),"Forget to train Ms. Thuy (300) about confirm message on google chat")</f>
        <v>Forget to train Ms. Thuy (300) about confirm message on google chat</v>
      </c>
      <c r="D22" s="228">
        <f>IFERROR(__xludf.DUMMYFUNCTION("""COMPUTED_VALUE"""),-1.0)</f>
        <v>-1</v>
      </c>
      <c r="E22" s="230"/>
      <c r="F22" s="228"/>
    </row>
    <row r="23" hidden="1">
      <c r="A23" s="227">
        <f>IFERROR(__xludf.DUMMYFUNCTION("""COMPUTED_VALUE"""),44960.70850916667)</f>
        <v>44960.70851</v>
      </c>
      <c r="B23" s="228" t="str">
        <f>IFERROR(__xludf.DUMMYFUNCTION("""COMPUTED_VALUE"""),"GROUP - 000-100 - Hieu")</f>
        <v>GROUP - 000-100 - Hieu</v>
      </c>
      <c r="C23" s="229" t="str">
        <f>IFERROR(__xludf.DUMMYFUNCTION("""COMPUTED_VALUE"""),"Nỗ lực chuẩn bị và triển khai tốt buổi đào tạo văn hóa Hàn Quốc (3/2/2023)")</f>
        <v>Nỗ lực chuẩn bị và triển khai tốt buổi đào tạo văn hóa Hàn Quốc (3/2/2023)</v>
      </c>
      <c r="D23" s="228">
        <f>IFERROR(__xludf.DUMMYFUNCTION("""COMPUTED_VALUE"""),2.0)</f>
        <v>2</v>
      </c>
      <c r="E23" s="230"/>
      <c r="F23" s="228"/>
    </row>
    <row r="24" hidden="1">
      <c r="A24" s="227">
        <f>IFERROR(__xludf.DUMMYFUNCTION("""COMPUTED_VALUE"""),44977.61971854167)</f>
        <v>44977.61972</v>
      </c>
      <c r="B24" s="228" t="str">
        <f>IFERROR(__xludf.DUMMYFUNCTION("""COMPUTED_VALUE"""),"VPA - Team Leader - Mui")</f>
        <v>VPA - Team Leader - Mui</v>
      </c>
      <c r="C24" s="229" t="str">
        <f>IFERROR(__xludf.DUMMYFUNCTION("""COMPUTED_VALUE"""),"Tích cực học hỏi và thực hành Google Form, khuấy động phong trào học tập tại công ty ""ADD Group""")</f>
        <v>Tích cực học hỏi và thực hành Google Form, khuấy động phong trào học tập tại công ty "ADD Group"</v>
      </c>
      <c r="D24" s="228">
        <f>IFERROR(__xludf.DUMMYFUNCTION("""COMPUTED_VALUE"""),1.0)</f>
        <v>1</v>
      </c>
      <c r="E24" s="230"/>
      <c r="F24" s="228"/>
    </row>
    <row r="25" hidden="1">
      <c r="A25" s="221">
        <f>IFERROR(__xludf.DUMMYFUNCTION("""COMPUTED_VALUE"""),44988.727273530094)</f>
        <v>44988.72727</v>
      </c>
      <c r="B25" s="197" t="str">
        <f>IFERROR(__xludf.DUMMYFUNCTION("""COMPUTED_VALUE"""),"GROUP - 000-100 - Hieu")</f>
        <v>GROUP - 000-100 - Hieu</v>
      </c>
      <c r="C25" s="197" t="str">
        <f>IFERROR(__xludf.DUMMYFUNCTION("""COMPUTED_VALUE"""),"Đề xuất chủ đề hay và thực hiện đào tạo tốt")</f>
        <v>Đề xuất chủ đề hay và thực hiện đào tạo tốt</v>
      </c>
      <c r="D25" s="197">
        <f>IFERROR(__xludf.DUMMYFUNCTION("""COMPUTED_VALUE"""),1.0)</f>
        <v>1</v>
      </c>
      <c r="E25" s="197"/>
    </row>
    <row r="26" hidden="1">
      <c r="A26" s="221">
        <f>IFERROR(__xludf.DUMMYFUNCTION("""COMPUTED_VALUE"""),45056.341825497686)</f>
        <v>45056.34183</v>
      </c>
      <c r="B26" s="197" t="str">
        <f>IFERROR(__xludf.DUMMYFUNCTION("""COMPUTED_VALUE"""),"GROUP - 000-100 - Hieu")</f>
        <v>GROUP - 000-100 - Hieu</v>
      </c>
      <c r="C26" s="197" t="str">
        <f>IFERROR(__xludf.DUMMYFUNCTION("""COMPUTED_VALUE"""),"Xử lý tốt lỗi hiển thị ASG trên google map - Google지도에 ASG 표시 오류를 잘 처리합니다.")</f>
        <v>Xử lý tốt lỗi hiển thị ASG trên google map - Google지도에 ASG 표시 오류를 잘 처리합니다.</v>
      </c>
      <c r="D26" s="197">
        <f>IFERROR(__xludf.DUMMYFUNCTION("""COMPUTED_VALUE"""),1.0)</f>
        <v>1</v>
      </c>
      <c r="E26" s="197"/>
    </row>
    <row r="27" hidden="1">
      <c r="A27" s="221">
        <f>IFERROR(__xludf.DUMMYFUNCTION("""COMPUTED_VALUE"""),45136.589881736116)</f>
        <v>45136.58988</v>
      </c>
      <c r="B27" s="197" t="str">
        <f>IFERROR(__xludf.DUMMYFUNCTION("""COMPUTED_VALUE"""),"VPA - Team Leader - Mui")</f>
        <v>VPA - Team Leader - Mui</v>
      </c>
      <c r="C27" s="197" t="str">
        <f>IFERROR(__xludf.DUMMYFUNCTION("""COMPUTED_VALUE"""),"Correctly answer the question in the training session (28/7/2023)")</f>
        <v>Correctly answer the question in the training session (28/7/2023)</v>
      </c>
      <c r="D27" s="197">
        <f>IFERROR(__xludf.DUMMYFUNCTION("""COMPUTED_VALUE"""),1.0)</f>
        <v>1</v>
      </c>
      <c r="E27" s="197"/>
    </row>
    <row r="28" hidden="1">
      <c r="A28" s="221">
        <f>IFERROR(__xludf.DUMMYFUNCTION("""COMPUTED_VALUE"""),45136.59002103009)</f>
        <v>45136.59002</v>
      </c>
      <c r="B28" s="197" t="str">
        <f>IFERROR(__xludf.DUMMYFUNCTION("""COMPUTED_VALUE"""),"VPA - 600 - Hieu")</f>
        <v>VPA - 600 - Hieu</v>
      </c>
      <c r="C28" s="197" t="str">
        <f>IFERROR(__xludf.DUMMYFUNCTION("""COMPUTED_VALUE"""),"Correctly answer the question in the training session (28/7/2023)")</f>
        <v>Correctly answer the question in the training session (28/7/2023)</v>
      </c>
      <c r="D28" s="197">
        <f>IFERROR(__xludf.DUMMYFUNCTION("""COMPUTED_VALUE"""),1.0)</f>
        <v>1</v>
      </c>
      <c r="E28" s="197"/>
    </row>
    <row r="29" hidden="1">
      <c r="A29" s="221">
        <f>IFERROR(__xludf.DUMMYFUNCTION("""COMPUTED_VALUE"""),45136.59066657408)</f>
        <v>45136.59067</v>
      </c>
      <c r="B29" s="197" t="str">
        <f>IFERROR(__xludf.DUMMYFUNCTION("""COMPUTED_VALUE"""),"VPA - 600 - Giang")</f>
        <v>VPA - 600 - Giang</v>
      </c>
      <c r="C29" s="197" t="str">
        <f>IFERROR(__xludf.DUMMYFUNCTION("""COMPUTED_VALUE"""),"Found out deficiency in the question in the training session (28/7/2023)")</f>
        <v>Found out deficiency in the question in the training session (28/7/2023)</v>
      </c>
      <c r="D29" s="197">
        <f>IFERROR(__xludf.DUMMYFUNCTION("""COMPUTED_VALUE"""),1.0)</f>
        <v>1</v>
      </c>
      <c r="E29" s="197"/>
    </row>
    <row r="30" hidden="1">
      <c r="A30" s="221">
        <f>IFERROR(__xludf.DUMMYFUNCTION("""COMPUTED_VALUE"""),45291.63309027778)</f>
        <v>45291.63309</v>
      </c>
      <c r="B30" s="197" t="str">
        <f>IFERROR(__xludf.DUMMYFUNCTION("""COMPUTED_VALUE"""),"GROUP - 300 - Thuy")</f>
        <v>GROUP - 300 - Thuy</v>
      </c>
      <c r="C30" s="197" t="str">
        <f>IFERROR(__xludf.DUMMYFUNCTION("""COMPUTED_VALUE"""),"Thực hiện tốt quy định ""V"" 1:46 ngày 20/10/2023")</f>
        <v>Thực hiện tốt quy định "V" 1:46 ngày 20/10/2023</v>
      </c>
      <c r="D30" s="197">
        <f>IFERROR(__xludf.DUMMYFUNCTION("""COMPUTED_VALUE"""),1.0)</f>
        <v>1</v>
      </c>
      <c r="E30" s="197"/>
    </row>
    <row r="31" hidden="1">
      <c r="A31" s="221">
        <f>IFERROR(__xludf.DUMMYFUNCTION("""COMPUTED_VALUE"""),45291.63309027778)</f>
        <v>45291.63309</v>
      </c>
      <c r="B31" s="197" t="str">
        <f>IFERROR(__xludf.DUMMYFUNCTION("""COMPUTED_VALUE"""),"GROUP - 300 - Hong")</f>
        <v>GROUP - 300 - Hong</v>
      </c>
      <c r="C31" s="197" t="str">
        <f>IFERROR(__xludf.DUMMYFUNCTION("""COMPUTED_VALUE""")," Thực hiện tốt quy định ""V"" 1:46 ngày 20/10/2023")</f>
        <v> Thực hiện tốt quy định "V" 1:46 ngày 20/10/2023</v>
      </c>
      <c r="D31" s="197">
        <f>IFERROR(__xludf.DUMMYFUNCTION("""COMPUTED_VALUE"""),1.0)</f>
        <v>1</v>
      </c>
      <c r="E31" s="197"/>
    </row>
    <row r="32" hidden="1">
      <c r="A32" s="221">
        <f>IFERROR(__xludf.DUMMYFUNCTION("""COMPUTED_VALUE"""),45291.63309027778)</f>
        <v>45291.63309</v>
      </c>
      <c r="B32" s="197" t="str">
        <f>IFERROR(__xludf.DUMMYFUNCTION("""COMPUTED_VALUE"""),"GROUP - 300 - Sim")</f>
        <v>GROUP - 300 - Sim</v>
      </c>
      <c r="C32" s="197" t="str">
        <f>IFERROR(__xludf.DUMMYFUNCTION("""COMPUTED_VALUE""")," * Thực hiện tốt quy định ""V"" 1:46 ngày 20/10/2023")</f>
        <v> * Thực hiện tốt quy định "V" 1:46 ngày 20/10/2023</v>
      </c>
      <c r="D32" s="197">
        <f>IFERROR(__xludf.DUMMYFUNCTION("""COMPUTED_VALUE"""),3.0)</f>
        <v>3</v>
      </c>
      <c r="E32" s="197"/>
    </row>
    <row r="33" hidden="1">
      <c r="A33" s="221">
        <f>IFERROR(__xludf.DUMMYFUNCTION("""COMPUTED_VALUE"""),45291.63309027778)</f>
        <v>45291.63309</v>
      </c>
      <c r="B33" s="197" t="str">
        <f>IFERROR(__xludf.DUMMYFUNCTION("""COMPUTED_VALUE"""),"GROUP - 300 - Thuy")</f>
        <v>GROUP - 300 - Thuy</v>
      </c>
      <c r="C33" s="197" t="str">
        <f>IFERROR(__xludf.DUMMYFUNCTION("""COMPUTED_VALUE""")," Thực hiện tốt quy định ""V"" 8:23 ngày 20/10/2023")</f>
        <v> Thực hiện tốt quy định "V" 8:23 ngày 20/10/2023</v>
      </c>
      <c r="D33" s="197">
        <f>IFERROR(__xludf.DUMMYFUNCTION("""COMPUTED_VALUE"""),1.0)</f>
        <v>1</v>
      </c>
      <c r="E33" s="197"/>
    </row>
    <row r="34" hidden="1">
      <c r="A34" s="221">
        <f>IFERROR(__xludf.DUMMYFUNCTION("""COMPUTED_VALUE"""),45291.63309027778)</f>
        <v>45291.63309</v>
      </c>
      <c r="B34" s="197" t="str">
        <f>IFERROR(__xludf.DUMMYFUNCTION("""COMPUTED_VALUE"""),"GROUP - 300 - Hong")</f>
        <v>GROUP - 300 - Hong</v>
      </c>
      <c r="C34" s="197" t="str">
        <f>IFERROR(__xludf.DUMMYFUNCTION("""COMPUTED_VALUE""")," Thực hiện tốt quy định ""V"" 8:23 ngày 20/10/2023")</f>
        <v> Thực hiện tốt quy định "V" 8:23 ngày 20/10/2023</v>
      </c>
      <c r="D34" s="197">
        <f>IFERROR(__xludf.DUMMYFUNCTION("""COMPUTED_VALUE"""),1.0)</f>
        <v>1</v>
      </c>
      <c r="E34" s="197"/>
    </row>
    <row r="35" hidden="1">
      <c r="A35" s="221">
        <f>IFERROR(__xludf.DUMMYFUNCTION("""COMPUTED_VALUE"""),45291.63309027778)</f>
        <v>45291.63309</v>
      </c>
      <c r="B35" s="197" t="str">
        <f>IFERROR(__xludf.DUMMYFUNCTION("""COMPUTED_VALUE"""),"GROUP - 300 - Sim")</f>
        <v>GROUP - 300 - Sim</v>
      </c>
      <c r="C35" s="197" t="str">
        <f>IFERROR(__xludf.DUMMYFUNCTION("""COMPUTED_VALUE""")," Thực hiện tốt quy định ""V"" 8:23 ngày 20/10/2023")</f>
        <v> Thực hiện tốt quy định "V" 8:23 ngày 20/10/2023</v>
      </c>
      <c r="D35" s="197">
        <f>IFERROR(__xludf.DUMMYFUNCTION("""COMPUTED_VALUE"""),1.0)</f>
        <v>1</v>
      </c>
      <c r="E35" s="197"/>
    </row>
    <row r="36" hidden="1">
      <c r="A36" s="221">
        <f>IFERROR(__xludf.DUMMYFUNCTION("""COMPUTED_VALUE"""),45291.63309027778)</f>
        <v>45291.63309</v>
      </c>
      <c r="B36" s="197" t="str">
        <f>IFERROR(__xludf.DUMMYFUNCTION("""COMPUTED_VALUE"""),"GROUP - 000-100 - Hieu")</f>
        <v>GROUP - 000-100 - Hieu</v>
      </c>
      <c r="C36" s="197" t="str">
        <f>IFERROR(__xludf.DUMMYFUNCTION("""COMPUTED_VALUE""")," Thực hiện tốt quy định ""V"" 8:23 ngày 20/10/2023")</f>
        <v> Thực hiện tốt quy định "V" 8:23 ngày 20/10/2023</v>
      </c>
      <c r="D36" s="197">
        <f>IFERROR(__xludf.DUMMYFUNCTION("""COMPUTED_VALUE"""),1.0)</f>
        <v>1</v>
      </c>
      <c r="E36" s="197"/>
    </row>
    <row r="37" hidden="1">
      <c r="A37" s="221">
        <f>IFERROR(__xludf.DUMMYFUNCTION("""COMPUTED_VALUE"""),45291.63309027778)</f>
        <v>45291.63309</v>
      </c>
      <c r="B37" s="197" t="str">
        <f>IFERROR(__xludf.DUMMYFUNCTION("""COMPUTED_VALUE"""),"ADC - Site Manager - Thuyet")</f>
        <v>ADC - Site Manager - Thuyet</v>
      </c>
      <c r="C37" s="197" t="str">
        <f>IFERROR(__xludf.DUMMYFUNCTION("""COMPUTED_VALUE""")," * Thực hiện tốt quy định ""V"" 8:23 ngày 20/10/2023")</f>
        <v> * Thực hiện tốt quy định "V" 8:23 ngày 20/10/2023</v>
      </c>
      <c r="D37" s="197">
        <f>IFERROR(__xludf.DUMMYFUNCTION("""COMPUTED_VALUE"""),3.0)</f>
        <v>3</v>
      </c>
      <c r="E37" s="197"/>
    </row>
    <row r="38" hidden="1">
      <c r="A38" s="221">
        <f>IFERROR(__xludf.DUMMYFUNCTION("""COMPUTED_VALUE"""),45291.63309027778)</f>
        <v>45291.63309</v>
      </c>
      <c r="B38" s="197" t="str">
        <f>IFERROR(__xludf.DUMMYFUNCTION("""COMPUTED_VALUE"""),"GROUP - 300 - Thuy")</f>
        <v>GROUP - 300 - Thuy</v>
      </c>
      <c r="C38" s="197" t="str">
        <f>IFERROR(__xludf.DUMMYFUNCTION("""COMPUTED_VALUE""")," Thực hiện tốt quy định ""V"" ngày 10/06/2023")</f>
        <v> Thực hiện tốt quy định "V" ngày 10/06/2023</v>
      </c>
      <c r="D38" s="197">
        <f>IFERROR(__xludf.DUMMYFUNCTION("""COMPUTED_VALUE"""),1.0)</f>
        <v>1</v>
      </c>
      <c r="E38" s="197"/>
    </row>
    <row r="39" hidden="1">
      <c r="A39" s="221">
        <f>IFERROR(__xludf.DUMMYFUNCTION("""COMPUTED_VALUE"""),45291.63309027778)</f>
        <v>45291.63309</v>
      </c>
      <c r="B39" s="197" t="str">
        <f>IFERROR(__xludf.DUMMYFUNCTION("""COMPUTED_VALUE"""),"GROUP - 000-100 - Hieu")</f>
        <v>GROUP - 000-100 - Hieu</v>
      </c>
      <c r="C39" s="197" t="str">
        <f>IFERROR(__xludf.DUMMYFUNCTION("""COMPUTED_VALUE""")," Thực hiện tốt quy định ""V"" ngày 10/06/2023")</f>
        <v> Thực hiện tốt quy định "V" ngày 10/06/2023</v>
      </c>
      <c r="D39" s="197">
        <f>IFERROR(__xludf.DUMMYFUNCTION("""COMPUTED_VALUE"""),1.0)</f>
        <v>1</v>
      </c>
      <c r="E39" s="197"/>
    </row>
    <row r="40" hidden="1">
      <c r="A40" s="221">
        <f>IFERROR(__xludf.DUMMYFUNCTION("""COMPUTED_VALUE"""),45291.63309027778)</f>
        <v>45291.63309</v>
      </c>
      <c r="B40" s="197" t="str">
        <f>IFERROR(__xludf.DUMMYFUNCTION("""COMPUTED_VALUE"""),"GROUP - 300 - Lien")</f>
        <v>GROUP - 300 - Lien</v>
      </c>
      <c r="C40" s="197" t="str">
        <f>IFERROR(__xludf.DUMMYFUNCTION("""COMPUTED_VALUE""")," Thực hiện tốt quy định ""V"" ngày 10/06/2023")</f>
        <v> Thực hiện tốt quy định "V" ngày 10/06/2023</v>
      </c>
      <c r="D40" s="197">
        <f>IFERROR(__xludf.DUMMYFUNCTION("""COMPUTED_VALUE"""),1.0)</f>
        <v>1</v>
      </c>
      <c r="E40" s="197"/>
    </row>
    <row r="41" hidden="1">
      <c r="A41" s="221">
        <f>IFERROR(__xludf.DUMMYFUNCTION("""COMPUTED_VALUE"""),45291.63309027778)</f>
        <v>45291.63309</v>
      </c>
      <c r="B41" s="197" t="str">
        <f>IFERROR(__xludf.DUMMYFUNCTION("""COMPUTED_VALUE"""),"GROUP - 300 - Sim")</f>
        <v>GROUP - 300 - Sim</v>
      </c>
      <c r="C41" s="197" t="str">
        <f>IFERROR(__xludf.DUMMYFUNCTION("""COMPUTED_VALUE""")," Thực hiện tốt quy định ""V"" ngày 10/06/2023")</f>
        <v> Thực hiện tốt quy định "V" ngày 10/06/2023</v>
      </c>
      <c r="D41" s="197">
        <f>IFERROR(__xludf.DUMMYFUNCTION("""COMPUTED_VALUE"""),1.0)</f>
        <v>1</v>
      </c>
      <c r="E41" s="197"/>
    </row>
    <row r="42" hidden="1">
      <c r="A42" s="221">
        <f>IFERROR(__xludf.DUMMYFUNCTION("""COMPUTED_VALUE"""),45291.63309027778)</f>
        <v>45291.63309</v>
      </c>
      <c r="B42" s="197" t="str">
        <f>IFERROR(__xludf.DUMMYFUNCTION("""COMPUTED_VALUE"""),"VPA - 600 - Giang")</f>
        <v>VPA - 600 - Giang</v>
      </c>
      <c r="C42" s="197" t="str">
        <f>IFERROR(__xludf.DUMMYFUNCTION("""COMPUTED_VALUE""")," Thực hiện tốt quy định ""V"" ngày 10/06/2023")</f>
        <v> Thực hiện tốt quy định "V" ngày 10/06/2023</v>
      </c>
      <c r="D42" s="197">
        <f>IFERROR(__xludf.DUMMYFUNCTION("""COMPUTED_VALUE"""),1.0)</f>
        <v>1</v>
      </c>
      <c r="E42" s="197"/>
    </row>
    <row r="43" hidden="1">
      <c r="A43" s="221">
        <f>IFERROR(__xludf.DUMMYFUNCTION("""COMPUTED_VALUE"""),45291.63309027778)</f>
        <v>45291.63309</v>
      </c>
      <c r="B43" s="197" t="str">
        <f>IFERROR(__xludf.DUMMYFUNCTION("""COMPUTED_VALUE"""),"VPA - Team Leader - Tan")</f>
        <v>VPA - Team Leader - Tan</v>
      </c>
      <c r="C43" s="197" t="str">
        <f>IFERROR(__xludf.DUMMYFUNCTION("""COMPUTED_VALUE""")," Thực hiện tốt quy định ""V"" ngày 10/06/2023")</f>
        <v> Thực hiện tốt quy định "V" ngày 10/06/2023</v>
      </c>
      <c r="D43" s="197">
        <f>IFERROR(__xludf.DUMMYFUNCTION("""COMPUTED_VALUE"""),1.0)</f>
        <v>1</v>
      </c>
      <c r="E43" s="197"/>
    </row>
    <row r="44" hidden="1">
      <c r="A44" s="221">
        <f>IFERROR(__xludf.DUMMYFUNCTION("""COMPUTED_VALUE"""),45291.63309027778)</f>
        <v>45291.63309</v>
      </c>
      <c r="B44" s="197" t="str">
        <f>IFERROR(__xludf.DUMMYFUNCTION("""COMPUTED_VALUE"""),"VPA - 600 - Duong")</f>
        <v>VPA - 600 - Duong</v>
      </c>
      <c r="C44" s="197" t="str">
        <f>IFERROR(__xludf.DUMMYFUNCTION("""COMPUTED_VALUE"""),"* Thực hiện tốt quy định ""V"" ngày 10/06/2023")</f>
        <v>* Thực hiện tốt quy định "V" ngày 10/06/2023</v>
      </c>
      <c r="D44" s="197">
        <f>IFERROR(__xludf.DUMMYFUNCTION("""COMPUTED_VALUE"""),3.0)</f>
        <v>3</v>
      </c>
      <c r="E44" s="197"/>
    </row>
    <row r="45" hidden="1">
      <c r="A45" s="221">
        <f>IFERROR(__xludf.DUMMYFUNCTION("""COMPUTED_VALUE"""),45291.63309027778)</f>
        <v>45291.63309</v>
      </c>
      <c r="B45" s="197" t="str">
        <f>IFERROR(__xludf.DUMMYFUNCTION("""COMPUTED_VALUE"""),"GROUP - 300 - Thuy")</f>
        <v>GROUP - 300 - Thuy</v>
      </c>
      <c r="C45" s="197" t="str">
        <f>IFERROR(__xludf.DUMMYFUNCTION("""COMPUTED_VALUE""")," Thực hiện tốt quy định ""V"" ngày 22/9/2023")</f>
        <v> Thực hiện tốt quy định "V" ngày 22/9/2023</v>
      </c>
      <c r="D45" s="197">
        <f>IFERROR(__xludf.DUMMYFUNCTION("""COMPUTED_VALUE"""),1.0)</f>
        <v>1</v>
      </c>
      <c r="E45" s="197"/>
    </row>
    <row r="46" hidden="1">
      <c r="A46" s="221">
        <f>IFERROR(__xludf.DUMMYFUNCTION("""COMPUTED_VALUE"""),45291.63309027778)</f>
        <v>45291.63309</v>
      </c>
      <c r="B46" s="197" t="str">
        <f>IFERROR(__xludf.DUMMYFUNCTION("""COMPUTED_VALUE"""),"GROUP - 000-100 - Hieu")</f>
        <v>GROUP - 000-100 - Hieu</v>
      </c>
      <c r="C46" s="197" t="str">
        <f>IFERROR(__xludf.DUMMYFUNCTION("""COMPUTED_VALUE""")," Thực hiện tốt quy định ""V"" ngày 22/9/2023")</f>
        <v> Thực hiện tốt quy định "V" ngày 22/9/2023</v>
      </c>
      <c r="D46" s="197">
        <f>IFERROR(__xludf.DUMMYFUNCTION("""COMPUTED_VALUE"""),1.0)</f>
        <v>1</v>
      </c>
      <c r="E46" s="197"/>
    </row>
    <row r="47" hidden="1">
      <c r="A47" s="221">
        <f>IFERROR(__xludf.DUMMYFUNCTION("""COMPUTED_VALUE"""),45291.63309027778)</f>
        <v>45291.63309</v>
      </c>
      <c r="B47" s="197" t="str">
        <f>IFERROR(__xludf.DUMMYFUNCTION("""COMPUTED_VALUE"""),"VPA - Team Leader - Tan")</f>
        <v>VPA - Team Leader - Tan</v>
      </c>
      <c r="C47" s="197" t="str">
        <f>IFERROR(__xludf.DUMMYFUNCTION("""COMPUTED_VALUE""")," Thực hiện tốt quy định ""V"" ngày 22/9/2023")</f>
        <v> Thực hiện tốt quy định "V" ngày 22/9/2023</v>
      </c>
      <c r="D47" s="197">
        <f>IFERROR(__xludf.DUMMYFUNCTION("""COMPUTED_VALUE"""),1.0)</f>
        <v>1</v>
      </c>
      <c r="E47" s="197"/>
    </row>
    <row r="48" hidden="1">
      <c r="A48" s="221">
        <f>IFERROR(__xludf.DUMMYFUNCTION("""COMPUTED_VALUE"""),45291.63309027778)</f>
        <v>45291.63309</v>
      </c>
      <c r="B48" s="197" t="str">
        <f>IFERROR(__xludf.DUMMYFUNCTION("""COMPUTED_VALUE"""),"VPA - 600 - Duong")</f>
        <v>VPA - 600 - Duong</v>
      </c>
      <c r="C48" s="197" t="str">
        <f>IFERROR(__xludf.DUMMYFUNCTION("""COMPUTED_VALUE""")," * Thực hiện tốt quy định ""V"" ngày 22/9/2023")</f>
        <v> * Thực hiện tốt quy định "V" ngày 22/9/2023</v>
      </c>
      <c r="D48" s="197">
        <f>IFERROR(__xludf.DUMMYFUNCTION("""COMPUTED_VALUE"""),3.0)</f>
        <v>3</v>
      </c>
      <c r="E48" s="197"/>
    </row>
    <row r="49" hidden="1">
      <c r="A49" s="221">
        <f>IFERROR(__xludf.DUMMYFUNCTION("""COMPUTED_VALUE"""),45291.63309027778)</f>
        <v>45291.63309</v>
      </c>
      <c r="B49" s="197" t="str">
        <f>IFERROR(__xludf.DUMMYFUNCTION("""COMPUTED_VALUE"""),"GROUP - 000-100 - Hieu")</f>
        <v>GROUP - 000-100 - Hieu</v>
      </c>
      <c r="C49" s="197" t="str">
        <f>IFERROR(__xludf.DUMMYFUNCTION("""COMPUTED_VALUE""")," Thực hiện tốt quy định ""V"" ngày 28/7/2023")</f>
        <v> Thực hiện tốt quy định "V" ngày 28/7/2023</v>
      </c>
      <c r="D49" s="197">
        <f>IFERROR(__xludf.DUMMYFUNCTION("""COMPUTED_VALUE"""),1.0)</f>
        <v>1</v>
      </c>
      <c r="E49" s="197"/>
    </row>
    <row r="50" hidden="1">
      <c r="A50" s="221">
        <f>IFERROR(__xludf.DUMMYFUNCTION("""COMPUTED_VALUE"""),45291.63309027778)</f>
        <v>45291.63309</v>
      </c>
      <c r="B50" s="197" t="str">
        <f>IFERROR(__xludf.DUMMYFUNCTION("""COMPUTED_VALUE"""),"VPA - Team Leader - Tan")</f>
        <v>VPA - Team Leader - Tan</v>
      </c>
      <c r="C50" s="197" t="str">
        <f>IFERROR(__xludf.DUMMYFUNCTION("""COMPUTED_VALUE""")," Thực hiện tốt quy định ""V"" ngày 28/7/2023")</f>
        <v> Thực hiện tốt quy định "V" ngày 28/7/2023</v>
      </c>
      <c r="D50" s="197">
        <f>IFERROR(__xludf.DUMMYFUNCTION("""COMPUTED_VALUE"""),1.0)</f>
        <v>1</v>
      </c>
      <c r="E50" s="197"/>
    </row>
    <row r="51" hidden="1">
      <c r="A51" s="221">
        <f>IFERROR(__xludf.DUMMYFUNCTION("""COMPUTED_VALUE"""),45291.63309027778)</f>
        <v>45291.63309</v>
      </c>
      <c r="B51" s="197" t="str">
        <f>IFERROR(__xludf.DUMMYFUNCTION("""COMPUTED_VALUE"""),"GROUP - 300 - Lien")</f>
        <v>GROUP - 300 - Lien</v>
      </c>
      <c r="C51" s="197" t="str">
        <f>IFERROR(__xludf.DUMMYFUNCTION("""COMPUTED_VALUE""")," Thực hiện tốt quy định ""V"" ngày 28/7/2023")</f>
        <v> Thực hiện tốt quy định "V" ngày 28/7/2023</v>
      </c>
      <c r="D51" s="197">
        <f>IFERROR(__xludf.DUMMYFUNCTION("""COMPUTED_VALUE"""),1.0)</f>
        <v>1</v>
      </c>
      <c r="E51" s="197"/>
    </row>
    <row r="52" hidden="1">
      <c r="A52" s="221">
        <f>IFERROR(__xludf.DUMMYFUNCTION("""COMPUTED_VALUE"""),45291.63309027778)</f>
        <v>45291.63309</v>
      </c>
      <c r="B52" s="197" t="str">
        <f>IFERROR(__xludf.DUMMYFUNCTION("""COMPUTED_VALUE"""),"GROUP - 300 - Sim")</f>
        <v>GROUP - 300 - Sim</v>
      </c>
      <c r="C52" s="197" t="str">
        <f>IFERROR(__xludf.DUMMYFUNCTION("""COMPUTED_VALUE""")," Thực hiện tốt quy định ""V"" ngày 28/7/2023")</f>
        <v> Thực hiện tốt quy định "V" ngày 28/7/2023</v>
      </c>
      <c r="D52" s="197">
        <f>IFERROR(__xludf.DUMMYFUNCTION("""COMPUTED_VALUE"""),1.0)</f>
        <v>1</v>
      </c>
      <c r="E52" s="197"/>
    </row>
    <row r="53" hidden="1">
      <c r="A53" s="221">
        <f>IFERROR(__xludf.DUMMYFUNCTION("""COMPUTED_VALUE"""),45291.63309027778)</f>
        <v>45291.63309</v>
      </c>
      <c r="B53" s="197" t="str">
        <f>IFERROR(__xludf.DUMMYFUNCTION("""COMPUTED_VALUE"""),"VPA - 600 - Duong")</f>
        <v>VPA - 600 - Duong</v>
      </c>
      <c r="C53" s="197" t="str">
        <f>IFERROR(__xludf.DUMMYFUNCTION("""COMPUTED_VALUE""")," *Thực hiện tốt quy định ""V"" ngày 28/7/2023")</f>
        <v> *Thực hiện tốt quy định "V" ngày 28/7/2023</v>
      </c>
      <c r="D53" s="197">
        <f>IFERROR(__xludf.DUMMYFUNCTION("""COMPUTED_VALUE"""),3.0)</f>
        <v>3</v>
      </c>
      <c r="E53" s="197"/>
    </row>
    <row r="54" hidden="1">
      <c r="A54" s="221">
        <f>IFERROR(__xludf.DUMMYFUNCTION("""COMPUTED_VALUE"""),45313.45868667824)</f>
        <v>45313.45869</v>
      </c>
      <c r="B54" s="197" t="str">
        <f>IFERROR(__xludf.DUMMYFUNCTION("""COMPUTED_VALUE"""),"GROUP - 000-100 - Luat")</f>
        <v>GROUP - 000-100 - Luat</v>
      </c>
      <c r="C54" s="197" t="str">
        <f>IFERROR(__xludf.DUMMYFUNCTION("""COMPUTED_VALUE"""),"Gây lỗi server (Gián đoạn 1h) - 서버 오류 발생 (1시간 동안 시스템 중단)")</f>
        <v>Gây lỗi server (Gián đoạn 1h) - 서버 오류 발생 (1시간 동안 시스템 중단)</v>
      </c>
      <c r="D54" s="197">
        <f>IFERROR(__xludf.DUMMYFUNCTION("""COMPUTED_VALUE"""),-1.0)</f>
        <v>-1</v>
      </c>
      <c r="E54" s="197"/>
    </row>
    <row r="55">
      <c r="A55" s="221">
        <f>IFERROR(__xludf.DUMMYFUNCTION("""COMPUTED_VALUE"""),45792.731098206015)</f>
        <v>45792.7311</v>
      </c>
      <c r="B55" s="197" t="str">
        <f>IFERROR(__xludf.DUMMYFUNCTION("""COMPUTED_VALUE"""),"GROUP - 200 - Duy Anh")</f>
        <v>GROUP - 200 - Duy Anh</v>
      </c>
      <c r="C55" s="197" t="str">
        <f>IFERROR(__xludf.DUMMYFUNCTION("""COMPUTED_VALUE"""),"Ý tưởng tốt để cải thiện 230 AI")</f>
        <v>Ý tưởng tốt để cải thiện 230 AI</v>
      </c>
      <c r="D55" s="197">
        <f>IFERROR(__xludf.DUMMYFUNCTION("""COMPUTED_VALUE"""),1.0)</f>
        <v>1</v>
      </c>
      <c r="E55" s="197"/>
    </row>
    <row r="56">
      <c r="A56" s="221">
        <f>IFERROR(__xludf.DUMMYFUNCTION("""COMPUTED_VALUE"""),45801.391353391205)</f>
        <v>45801.39135</v>
      </c>
      <c r="B56" s="197" t="str">
        <f>IFERROR(__xludf.DUMMYFUNCTION("""COMPUTED_VALUE"""),"GROUP - 200 - Duy Anh")</f>
        <v>GROUP - 200 - Duy Anh</v>
      </c>
      <c r="C56" s="197" t="str">
        <f>IFERROR(__xludf.DUMMYFUNCTION("""COMPUTED_VALUE"""),"Chuẩn bị tốt cho buổi tiệc chia tay Ms.Mùi")</f>
        <v>Chuẩn bị tốt cho buổi tiệc chia tay Ms.Mùi</v>
      </c>
      <c r="D56" s="197">
        <f>IFERROR(__xludf.DUMMYFUNCTION("""COMPUTED_VALUE"""),1.0)</f>
        <v>1</v>
      </c>
      <c r="E56" s="197"/>
    </row>
    <row r="57">
      <c r="A57" s="231">
        <f>IFERROR(__xludf.DUMMYFUNCTION("""COMPUTED_VALUE"""),45818.62453634259)</f>
        <v>45818.62454</v>
      </c>
      <c r="B57" s="197" t="str">
        <f>IFERROR(__xludf.DUMMYFUNCTION("""COMPUTED_VALUE"""),"100.Hieu")</f>
        <v>100.Hieu</v>
      </c>
      <c r="C57" s="197" t="str">
        <f>IFERROR(__xludf.DUMMYFUNCTION("""COMPUTED_VALUE"""),"Prepare to pick up Boss")</f>
        <v>Prepare to pick up Boss</v>
      </c>
      <c r="D57" s="197">
        <f>IFERROR(__xludf.DUMMYFUNCTION("""COMPUTED_VALUE"""),1.0)</f>
        <v>1</v>
      </c>
      <c r="E57" s="197"/>
    </row>
    <row r="58">
      <c r="A58" s="221">
        <f>IFERROR(__xludf.DUMMYFUNCTION("""COMPUTED_VALUE"""),45826.71213322917)</f>
        <v>45826.71213</v>
      </c>
      <c r="B58" s="197" t="str">
        <f>IFERROR(__xludf.DUMMYFUNCTION("""COMPUTED_VALUE"""),"300.Sim")</f>
        <v>300.Sim</v>
      </c>
      <c r="C58" s="197" t="str">
        <f>IFERROR(__xludf.DUMMYFUNCTION("""COMPUTED_VALUE"""),"Tích cực làm hồ sơ thanh toán")</f>
        <v>Tích cực làm hồ sơ thanh toán</v>
      </c>
      <c r="D58" s="197">
        <f>IFERROR(__xludf.DUMMYFUNCTION("""COMPUTED_VALUE"""),1.0)</f>
        <v>1</v>
      </c>
      <c r="E58" s="197"/>
    </row>
    <row r="59">
      <c r="A59" s="232">
        <f>IFERROR(__xludf.DUMMYFUNCTION("""COMPUTED_VALUE"""),45827.64003458333)</f>
        <v>45827.64003</v>
      </c>
      <c r="B59" s="233" t="str">
        <f>IFERROR(__xludf.DUMMYFUNCTION("""COMPUTED_VALUE"""),"300.Thuy")</f>
        <v>300.Thuy</v>
      </c>
      <c r="C59" s="234" t="str">
        <f>IFERROR(__xludf.DUMMYFUNCTION("""COMPUTED_VALUE"""),"환급 서류 준비, 세금 정산, 2019-2024년 정산 비용 절감 협상 노력")</f>
        <v>환급 서류 준비, 세금 정산, 2019-2024년 정산 비용 절감 협상 노력</v>
      </c>
      <c r="D59" s="235">
        <f>IFERROR(__xludf.DUMMYFUNCTION("""COMPUTED_VALUE"""),2.0)</f>
        <v>2</v>
      </c>
      <c r="E59" s="236"/>
      <c r="F59" s="236"/>
    </row>
    <row r="60">
      <c r="A60" s="232">
        <f>IFERROR(__xludf.DUMMYFUNCTION("""COMPUTED_VALUE"""),45840.38211997686)</f>
        <v>45840.38212</v>
      </c>
      <c r="B60" s="233" t="str">
        <f>IFERROR(__xludf.DUMMYFUNCTION("""COMPUTED_VALUE"""),"200.Duy Anh")</f>
        <v>200.Duy Anh</v>
      </c>
      <c r="C60" s="234" t="str">
        <f>IFERROR(__xludf.DUMMYFUNCTION("""COMPUTED_VALUE"""),"Good Reflection Film for SMAC (20.6.2025)")</f>
        <v>Good Reflection Film for SMAC (20.6.2025)</v>
      </c>
      <c r="D60" s="235">
        <f>IFERROR(__xludf.DUMMYFUNCTION("""COMPUTED_VALUE"""),1.0)</f>
        <v>1</v>
      </c>
      <c r="E60" s="236"/>
      <c r="F60" s="236"/>
    </row>
    <row r="61">
      <c r="A61" s="232">
        <f>IFERROR(__xludf.DUMMYFUNCTION("""COMPUTED_VALUE"""),45849.717528506946)</f>
        <v>45849.71753</v>
      </c>
      <c r="B61" s="233" t="str">
        <f>IFERROR(__xludf.DUMMYFUNCTION("""COMPUTED_VALUE"""),"VPA.Duong")</f>
        <v>VPA.Duong</v>
      </c>
      <c r="C61" s="234" t="str">
        <f>IFERROR(__xludf.DUMMYFUNCTION("""COMPUTED_VALUE"""),"1st arrive to education room")</f>
        <v>1st arrive to education room</v>
      </c>
      <c r="D61" s="235">
        <f>IFERROR(__xludf.DUMMYFUNCTION("""COMPUTED_VALUE"""),1.0)</f>
        <v>1</v>
      </c>
      <c r="E61" s="236"/>
      <c r="F61" s="236"/>
    </row>
    <row r="62">
      <c r="A62" s="237">
        <f>IFERROR(__xludf.DUMMYFUNCTION("""COMPUTED_VALUE"""),45849.726165266205)</f>
        <v>45849.72617</v>
      </c>
      <c r="B62" s="237" t="str">
        <f>IFERROR(__xludf.DUMMYFUNCTION("""COMPUTED_VALUE"""),"500.Tam")</f>
        <v>500.Tam</v>
      </c>
      <c r="C62" s="238" t="str">
        <f>IFERROR(__xludf.DUMMYFUNCTION("""COMPUTED_VALUE"""),"Good at google sheet translation form")</f>
        <v>Good at google sheet translation form</v>
      </c>
      <c r="D62" s="239">
        <f>IFERROR(__xludf.DUMMYFUNCTION("""COMPUTED_VALUE"""),1.0)</f>
        <v>1</v>
      </c>
      <c r="E62" s="236"/>
      <c r="F62" s="236"/>
    </row>
    <row r="63">
      <c r="A63" s="237">
        <f>IFERROR(__xludf.DUMMYFUNCTION("""COMPUTED_VALUE"""),45849.734586666666)</f>
        <v>45849.73459</v>
      </c>
      <c r="B63" s="237" t="str">
        <f>IFERROR(__xludf.DUMMYFUNCTION("""COMPUTED_VALUE"""),"VPA.Quan")</f>
        <v>VPA.Quan</v>
      </c>
      <c r="C63" s="238" t="str">
        <f>IFERROR(__xludf.DUMMYFUNCTION("""COMPUTED_VALUE"""),"Good at google sheet translation form")</f>
        <v>Good at google sheet translation form</v>
      </c>
      <c r="D63" s="239">
        <f>IFERROR(__xludf.DUMMYFUNCTION("""COMPUTED_VALUE"""),1.0)</f>
        <v>1</v>
      </c>
      <c r="E63" s="236"/>
      <c r="F63" s="236"/>
    </row>
    <row r="64">
      <c r="A64" s="237">
        <f>IFERROR(__xludf.DUMMYFUNCTION("""COMPUTED_VALUE"""),45862.62150383102)</f>
        <v>45862.6215</v>
      </c>
      <c r="B64" s="237" t="str">
        <f>IFERROR(__xludf.DUMMYFUNCTION("""COMPUTED_VALUE"""),"200.Duy Anh")</f>
        <v>200.Duy Anh</v>
      </c>
      <c r="C64" s="238" t="str">
        <f>IFERROR(__xludf.DUMMYFUNCTION("""COMPUTED_VALUE"""),"Handle Tucson conflix")</f>
        <v>Handle Tucson conflix</v>
      </c>
      <c r="D64" s="239">
        <f>IFERROR(__xludf.DUMMYFUNCTION("""COMPUTED_VALUE"""),1.0)</f>
        <v>1</v>
      </c>
      <c r="E64" s="236"/>
      <c r="F64" s="236"/>
    </row>
    <row r="65">
      <c r="A65" s="237">
        <f>IFERROR(__xludf.DUMMYFUNCTION("""COMPUTED_VALUE"""),45892.44171908565)</f>
        <v>45892.44172</v>
      </c>
      <c r="B65" s="237" t="str">
        <f>IFERROR(__xludf.DUMMYFUNCTION("""COMPUTED_VALUE"""),"VPA.Huyen")</f>
        <v>VPA.Huyen</v>
      </c>
      <c r="C65" s="238" t="str">
        <f>IFERROR(__xludf.DUMMYFUNCTION("""COMPUTED_VALUE"""),"Tích cực tham gia thực hành trong buổi đào tạo ngày 22/8/2025")</f>
        <v>Tích cực tham gia thực hành trong buổi đào tạo ngày 22/8/2025</v>
      </c>
      <c r="D65" s="239">
        <f>IFERROR(__xludf.DUMMYFUNCTION("""COMPUTED_VALUE"""),1.0)</f>
        <v>1</v>
      </c>
      <c r="E65" s="236"/>
      <c r="F65" s="236"/>
    </row>
    <row r="66">
      <c r="A66" s="237">
        <f>IFERROR(__xludf.DUMMYFUNCTION("""COMPUTED_VALUE"""),46003.82981280093)</f>
        <v>46003.82981</v>
      </c>
      <c r="B66" s="237" t="str">
        <f>IFERROR(__xludf.DUMMYFUNCTION("""COMPUTED_VALUE"""),"200.Duy Anh")</f>
        <v>200.Duy Anh</v>
      </c>
      <c r="C66" s="238" t="str">
        <f>IFERROR(__xludf.DUMMYFUNCTION("""COMPUTED_VALUE"""),"Quên thay pin khóa cửa vân tay.")</f>
        <v>Quên thay pin khóa cửa vân tay.</v>
      </c>
      <c r="D66" s="239">
        <f>IFERROR(__xludf.DUMMYFUNCTION("""COMPUTED_VALUE"""),-1.0)</f>
        <v>-1</v>
      </c>
      <c r="E66" s="236"/>
      <c r="F66" s="236"/>
    </row>
    <row r="67">
      <c r="A67" s="237">
        <f>IFERROR(__xludf.DUMMYFUNCTION("""COMPUTED_VALUE"""),46003.82981280093)</f>
        <v>46003.82981</v>
      </c>
      <c r="B67" s="237" t="str">
        <f>IFERROR(__xludf.DUMMYFUNCTION("""COMPUTED_VALUE"""),"200.Tien")</f>
        <v>200.Tien</v>
      </c>
      <c r="C67" s="238" t="str">
        <f>IFERROR(__xludf.DUMMYFUNCTION("""COMPUTED_VALUE"""),"Good support KSA event ")</f>
        <v>Good support KSA event </v>
      </c>
      <c r="D67" s="239">
        <f>IFERROR(__xludf.DUMMYFUNCTION("""COMPUTED_VALUE"""),1.0)</f>
        <v>1</v>
      </c>
      <c r="E67" s="236"/>
      <c r="F67" s="236"/>
    </row>
    <row r="68">
      <c r="A68" s="237">
        <f>IFERROR(__xludf.DUMMYFUNCTION("""COMPUTED_VALUE"""),46007.65505422454)</f>
        <v>46007.65505</v>
      </c>
      <c r="B68" s="237" t="str">
        <f>IFERROR(__xludf.DUMMYFUNCTION("""COMPUTED_VALUE"""),"300.Thuy")</f>
        <v>300.Thuy</v>
      </c>
      <c r="C68" s="238" t="str">
        <f>IFERROR(__xludf.DUMMYFUNCTION("""COMPUTED_VALUE"""),"Excellent result in tax return &amp; tax settlement")</f>
        <v>Excellent result in tax return &amp; tax settlement</v>
      </c>
      <c r="D68" s="239">
        <f>IFERROR(__xludf.DUMMYFUNCTION("""COMPUTED_VALUE"""),3.0)</f>
        <v>3</v>
      </c>
      <c r="E68" s="236"/>
      <c r="F68" s="236"/>
    </row>
    <row r="69">
      <c r="A69" s="237">
        <f>IFERROR(__xludf.DUMMYFUNCTION("""COMPUTED_VALUE"""),46111.40747984954)</f>
        <v>46111.40748</v>
      </c>
      <c r="B69" s="237" t="str">
        <f>IFERROR(__xludf.DUMMYFUNCTION("""COMPUTED_VALUE"""),"200.Duy Anh")</f>
        <v>200.Duy Anh</v>
      </c>
      <c r="C69" s="238" t="str">
        <f>IFERROR(__xludf.DUMMYFUNCTION("""COMPUTED_VALUE"""),"Thu Hồi Thành Công Tiền Tạm Ứng Án Phí Tòa Hải Dương")</f>
        <v>Thu Hồi Thành Công Tiền Tạm Ứng Án Phí Tòa Hải Dương</v>
      </c>
      <c r="D69" s="239">
        <f>IFERROR(__xludf.DUMMYFUNCTION("""COMPUTED_VALUE"""),1.0)</f>
        <v>1</v>
      </c>
      <c r="E69" s="236"/>
      <c r="F69" s="236"/>
    </row>
    <row r="70">
      <c r="A70" s="237">
        <f>IFERROR(__xludf.DUMMYFUNCTION("""COMPUTED_VALUE"""),46111.407967858795)</f>
        <v>46111.40797</v>
      </c>
      <c r="B70" s="237" t="str">
        <f>IFERROR(__xludf.DUMMYFUNCTION("""COMPUTED_VALUE"""),"200.Tien")</f>
        <v>200.Tien</v>
      </c>
      <c r="C70" s="238" t="str">
        <f>IFERROR(__xludf.DUMMYFUNCTION("""COMPUTED_VALUE"""),"Hoàn thiện tốt biển tên các công ty khách hàng.")</f>
        <v>Hoàn thiện tốt biển tên các công ty khách hàng.</v>
      </c>
      <c r="D70" s="235">
        <f>IFERROR(__xludf.DUMMYFUNCTION("""COMPUTED_VALUE"""),1.0)</f>
        <v>1</v>
      </c>
      <c r="E70" s="236"/>
      <c r="F70" s="236"/>
    </row>
    <row r="71">
      <c r="A71" s="237">
        <f>IFERROR(__xludf.DUMMYFUNCTION("""COMPUTED_VALUE"""),46121.4738377662)</f>
        <v>46121.47384</v>
      </c>
      <c r="B71" s="237" t="str">
        <f>IFERROR(__xludf.DUMMYFUNCTION("""COMPUTED_VALUE"""),"200.Duy Anh")</f>
        <v>200.Duy Anh</v>
      </c>
      <c r="C71" s="238" t="str">
        <f>IFERROR(__xludf.DUMMYFUNCTION("""COMPUTED_VALUE"""),"Well prepare legal document for FLC debt recovering")</f>
        <v>Well prepare legal document for FLC debt recovering</v>
      </c>
      <c r="D71" s="239">
        <f>IFERROR(__xludf.DUMMYFUNCTION("""COMPUTED_VALUE"""),2.0)</f>
        <v>2</v>
      </c>
      <c r="E71" s="236"/>
      <c r="F71" s="236"/>
    </row>
    <row r="72">
      <c r="A72" s="237">
        <f>IFERROR(__xludf.DUMMYFUNCTION("""COMPUTED_VALUE"""),46146.568840625)</f>
        <v>46146.56884</v>
      </c>
      <c r="B72" s="237" t="str">
        <f>IFERROR(__xludf.DUMMYFUNCTION("""COMPUTED_VALUE"""),"200.Tien")</f>
        <v>200.Tien</v>
      </c>
      <c r="C72" s="238" t="str">
        <f>IFERROR(__xludf.DUMMYFUNCTION("""COMPUTED_VALUE"""),"Hoàn thành tốt việc đổi SIM cho Boss sáng Viettel")</f>
        <v>Hoàn thành tốt việc đổi SIM cho Boss sáng Viettel</v>
      </c>
      <c r="D72" s="239">
        <f>IFERROR(__xludf.DUMMYFUNCTION("""COMPUTED_VALUE"""),1.0)</f>
        <v>1</v>
      </c>
      <c r="E72" s="236"/>
      <c r="F72" s="236"/>
    </row>
    <row r="73">
      <c r="A73" s="237">
        <f>IFERROR(__xludf.DUMMYFUNCTION("""COMPUTED_VALUE"""),46186.542488796294)</f>
        <v>46186.54249</v>
      </c>
      <c r="B73" s="237" t="str">
        <f>IFERROR(__xludf.DUMMYFUNCTION("""COMPUTED_VALUE"""),"200.Duy Anh")</f>
        <v>200.Duy Anh</v>
      </c>
      <c r="C73" s="238" t="str">
        <f>IFERROR(__xludf.DUMMYFUNCTION("""COMPUTED_VALUE"""),"Well preparing MT")</f>
        <v>Well preparing MT</v>
      </c>
      <c r="D73" s="239">
        <f>IFERROR(__xludf.DUMMYFUNCTION("""COMPUTED_VALUE"""),2.0)</f>
        <v>2</v>
      </c>
      <c r="E73" s="236"/>
      <c r="F73" s="236"/>
    </row>
    <row r="74">
      <c r="A74" s="237">
        <f>IFERROR(__xludf.DUMMYFUNCTION("""COMPUTED_VALUE"""),46186.542488796294)</f>
        <v>46186.54249</v>
      </c>
      <c r="B74" s="237" t="str">
        <f>IFERROR(__xludf.DUMMYFUNCTION("""COMPUTED_VALUE"""),"200.Tien")</f>
        <v>200.Tien</v>
      </c>
      <c r="C74" s="238" t="str">
        <f>IFERROR(__xludf.DUMMYFUNCTION("""COMPUTED_VALUE"""),"Well preparing MT")</f>
        <v>Well preparing MT</v>
      </c>
      <c r="D74" s="239">
        <f>IFERROR(__xludf.DUMMYFUNCTION("""COMPUTED_VALUE"""),2.0)</f>
        <v>2</v>
      </c>
      <c r="E74" s="236"/>
      <c r="F74" s="236"/>
    </row>
    <row r="75">
      <c r="A75" s="237">
        <f>IFERROR(__xludf.DUMMYFUNCTION("""COMPUTED_VALUE"""),46188.398767824074)</f>
        <v>46188.39877</v>
      </c>
      <c r="B75" s="237" t="str">
        <f>IFERROR(__xludf.DUMMYFUNCTION("""COMPUTED_VALUE"""),"VPA.Trang")</f>
        <v>VPA.Trang</v>
      </c>
      <c r="C75" s="238" t="str">
        <f>IFERROR(__xludf.DUMMYFUNCTION("""COMPUTED_VALUE"""),"MT Ninh Binh Winner Team")</f>
        <v>MT Ninh Binh Winner Team</v>
      </c>
      <c r="D75" s="239">
        <f>IFERROR(__xludf.DUMMYFUNCTION("""COMPUTED_VALUE"""),1.0)</f>
        <v>1</v>
      </c>
      <c r="E75" s="236"/>
      <c r="F75" s="236"/>
    </row>
    <row r="76">
      <c r="A76" s="237">
        <f>IFERROR(__xludf.DUMMYFUNCTION("""COMPUTED_VALUE"""),46188.398767824074)</f>
        <v>46188.39877</v>
      </c>
      <c r="B76" s="240" t="str">
        <f>IFERROR(__xludf.DUMMYFUNCTION("""COMPUTED_VALUE"""),"VPA.Vu")</f>
        <v>VPA.Vu</v>
      </c>
      <c r="C76" s="238" t="str">
        <f>IFERROR(__xludf.DUMMYFUNCTION("""COMPUTED_VALUE"""),"MT Ninh Binh Winner Team")</f>
        <v>MT Ninh Binh Winner Team</v>
      </c>
      <c r="D76" s="239">
        <f>IFERROR(__xludf.DUMMYFUNCTION("""COMPUTED_VALUE"""),1.0)</f>
        <v>1</v>
      </c>
      <c r="E76" s="236"/>
      <c r="F76" s="236"/>
    </row>
    <row r="77">
      <c r="A77" s="237">
        <f>IFERROR(__xludf.DUMMYFUNCTION("""COMPUTED_VALUE"""),46188.398767824074)</f>
        <v>46188.39877</v>
      </c>
      <c r="B77" s="237" t="str">
        <f>IFERROR(__xludf.DUMMYFUNCTION("""COMPUTED_VALUE"""),"500.Thao")</f>
        <v>500.Thao</v>
      </c>
      <c r="C77" s="238" t="str">
        <f>IFERROR(__xludf.DUMMYFUNCTION("""COMPUTED_VALUE"""),"MT Ninh Binh Winner Team")</f>
        <v>MT Ninh Binh Winner Team</v>
      </c>
      <c r="D77" s="239">
        <f>IFERROR(__xludf.DUMMYFUNCTION("""COMPUTED_VALUE"""),1.0)</f>
        <v>1</v>
      </c>
      <c r="E77" s="236"/>
      <c r="F77" s="236"/>
    </row>
    <row r="78">
      <c r="A78" s="237">
        <f>IFERROR(__xludf.DUMMYFUNCTION("""COMPUTED_VALUE"""),46188.398767824074)</f>
        <v>46188.39877</v>
      </c>
      <c r="B78" s="237" t="str">
        <f>IFERROR(__xludf.DUMMYFUNCTION("""COMPUTED_VALUE"""),"300.Thuy")</f>
        <v>300.Thuy</v>
      </c>
      <c r="C78" s="238" t="str">
        <f>IFERROR(__xludf.DUMMYFUNCTION("""COMPUTED_VALUE"""),"MT Ninh Binh Winner Team")</f>
        <v>MT Ninh Binh Winner Team</v>
      </c>
      <c r="D78" s="239">
        <f>IFERROR(__xludf.DUMMYFUNCTION("""COMPUTED_VALUE"""),1.0)</f>
        <v>1</v>
      </c>
      <c r="E78" s="236"/>
      <c r="F78" s="236"/>
    </row>
    <row r="79">
      <c r="A79" s="237">
        <f>IFERROR(__xludf.DUMMYFUNCTION("""COMPUTED_VALUE"""),46188.398767824074)</f>
        <v>46188.39877</v>
      </c>
      <c r="B79" s="237" t="str">
        <f>IFERROR(__xludf.DUMMYFUNCTION("""COMPUTED_VALUE"""),"300.Trang")</f>
        <v>300.Trang</v>
      </c>
      <c r="C79" s="238" t="str">
        <f>IFERROR(__xludf.DUMMYFUNCTION("""COMPUTED_VALUE"""),"MT Ninh Binh Winner Team")</f>
        <v>MT Ninh Binh Winner Team</v>
      </c>
      <c r="D79" s="239">
        <f>IFERROR(__xludf.DUMMYFUNCTION("""COMPUTED_VALUE"""),1.0)</f>
        <v>1</v>
      </c>
      <c r="E79" s="236"/>
      <c r="F79" s="236"/>
    </row>
    <row r="80">
      <c r="A80" s="237">
        <f>IFERROR(__xludf.DUMMYFUNCTION("""COMPUTED_VALUE"""),46191.39877314815)</f>
        <v>46191.39877</v>
      </c>
      <c r="B80" s="237" t="str">
        <f>IFERROR(__xludf.DUMMYFUNCTION("""COMPUTED_VALUE"""),"200.Duy Anh")</f>
        <v>200.Duy Anh</v>
      </c>
      <c r="C80" s="238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D80" s="239">
        <f>IFERROR(__xludf.DUMMYFUNCTION("""COMPUTED_VALUE"""),-2.0)</f>
        <v>-2</v>
      </c>
      <c r="E80" s="236"/>
      <c r="F80" s="236"/>
    </row>
    <row r="81">
      <c r="A81" s="237">
        <f>IFERROR(__xludf.DUMMYFUNCTION("""COMPUTED_VALUE"""),46191.39877314815)</f>
        <v>46191.39877</v>
      </c>
      <c r="B81" s="237" t="str">
        <f>IFERROR(__xludf.DUMMYFUNCTION("""COMPUTED_VALUE"""),"200.Tien")</f>
        <v>200.Tien</v>
      </c>
      <c r="C81" s="238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D81" s="239">
        <f>IFERROR(__xludf.DUMMYFUNCTION("""COMPUTED_VALUE"""),-2.0)</f>
        <v>-2</v>
      </c>
      <c r="E81" s="236"/>
      <c r="F81" s="236"/>
    </row>
    <row r="82">
      <c r="A82" s="237">
        <f>IFERROR(__xludf.DUMMYFUNCTION("""COMPUTED_VALUE"""),46191.39877314815)</f>
        <v>46191.39877</v>
      </c>
      <c r="B82" s="237" t="str">
        <f>IFERROR(__xludf.DUMMYFUNCTION("""COMPUTED_VALUE"""),"VPA.Thanh")</f>
        <v>VPA.Thanh</v>
      </c>
      <c r="C82" s="238" t="str">
        <f>IFERROR(__xludf.DUMMYFUNCTION("""COMPUTED_VALUE"""),"tham gia hóng chuyện")</f>
        <v>tham gia hóng chuyện</v>
      </c>
      <c r="D82" s="239">
        <f>IFERROR(__xludf.DUMMYFUNCTION("""COMPUTED_VALUE"""),-1.0)</f>
        <v>-1</v>
      </c>
      <c r="E82" s="236"/>
      <c r="F82" s="236"/>
    </row>
    <row r="83">
      <c r="A83" s="237"/>
      <c r="B83" s="237"/>
      <c r="C83" s="238"/>
      <c r="D83" s="239"/>
      <c r="E83" s="236"/>
      <c r="F83" s="236"/>
    </row>
    <row r="84">
      <c r="A84" s="237"/>
      <c r="B84" s="237"/>
      <c r="C84" s="238"/>
      <c r="D84" s="239"/>
      <c r="E84" s="236"/>
      <c r="F84" s="236"/>
    </row>
    <row r="85">
      <c r="A85" s="237"/>
      <c r="B85" s="237"/>
      <c r="C85" s="238"/>
      <c r="D85" s="239"/>
      <c r="E85" s="236"/>
      <c r="F85" s="236"/>
    </row>
    <row r="86">
      <c r="A86" s="237"/>
      <c r="B86" s="237"/>
      <c r="C86" s="238"/>
      <c r="D86" s="239"/>
      <c r="E86" s="236"/>
      <c r="F86" s="236"/>
    </row>
    <row r="87">
      <c r="A87" s="237"/>
      <c r="B87" s="237"/>
      <c r="C87" s="238"/>
      <c r="D87" s="239"/>
      <c r="E87" s="236"/>
      <c r="F87" s="236"/>
    </row>
    <row r="88">
      <c r="A88" s="237"/>
      <c r="B88" s="237"/>
      <c r="C88" s="238"/>
      <c r="D88" s="239"/>
      <c r="E88" s="236"/>
      <c r="F88" s="236"/>
    </row>
    <row r="89">
      <c r="A89" s="237"/>
      <c r="B89" s="237"/>
      <c r="C89" s="238"/>
      <c r="D89" s="239"/>
      <c r="E89" s="236"/>
      <c r="F89" s="236"/>
    </row>
    <row r="90">
      <c r="A90" s="237"/>
      <c r="B90" s="237"/>
      <c r="C90" s="238"/>
      <c r="D90" s="239"/>
      <c r="E90" s="236"/>
      <c r="F90" s="236"/>
    </row>
    <row r="91">
      <c r="A91" s="237"/>
      <c r="B91" s="237"/>
      <c r="C91" s="238"/>
      <c r="D91" s="239"/>
      <c r="E91" s="236"/>
      <c r="F91" s="236"/>
    </row>
    <row r="92">
      <c r="A92" s="237"/>
      <c r="B92" s="237"/>
      <c r="C92" s="238"/>
      <c r="D92" s="239"/>
      <c r="E92" s="236"/>
      <c r="F92" s="236"/>
    </row>
    <row r="93">
      <c r="A93" s="237"/>
      <c r="B93" s="237"/>
      <c r="C93" s="238"/>
      <c r="D93" s="239"/>
      <c r="E93" s="236"/>
      <c r="F93" s="236"/>
    </row>
    <row r="94">
      <c r="A94" s="237"/>
      <c r="B94" s="237"/>
      <c r="C94" s="238"/>
      <c r="D94" s="239"/>
      <c r="E94" s="236"/>
      <c r="F94" s="236"/>
    </row>
    <row r="95">
      <c r="A95" s="237"/>
      <c r="B95" s="237"/>
      <c r="C95" s="238"/>
      <c r="D95" s="239"/>
      <c r="E95" s="236"/>
      <c r="F95" s="236"/>
    </row>
    <row r="96">
      <c r="A96" s="237"/>
      <c r="B96" s="237"/>
      <c r="C96" s="238"/>
      <c r="D96" s="239"/>
      <c r="E96" s="236"/>
      <c r="F96" s="236"/>
    </row>
    <row r="97">
      <c r="A97" s="237"/>
      <c r="B97" s="237"/>
      <c r="C97" s="238"/>
      <c r="D97" s="239"/>
      <c r="E97" s="236"/>
      <c r="F97" s="236"/>
    </row>
    <row r="98">
      <c r="A98" s="237"/>
      <c r="B98" s="237"/>
      <c r="C98" s="238"/>
      <c r="D98" s="239"/>
      <c r="E98" s="236"/>
      <c r="F98" s="236"/>
    </row>
    <row r="99">
      <c r="A99" s="237"/>
      <c r="B99" s="237"/>
      <c r="C99" s="238"/>
      <c r="D99" s="239"/>
      <c r="E99" s="236"/>
      <c r="F99" s="236"/>
    </row>
    <row r="100">
      <c r="A100" s="237"/>
      <c r="B100" s="237"/>
      <c r="C100" s="238"/>
      <c r="D100" s="239"/>
      <c r="E100" s="236"/>
      <c r="F100" s="236"/>
    </row>
    <row r="101">
      <c r="A101" s="237"/>
      <c r="B101" s="237"/>
      <c r="C101" s="238"/>
      <c r="D101" s="239"/>
      <c r="E101" s="236"/>
      <c r="F101" s="236"/>
    </row>
    <row r="102">
      <c r="A102" s="237"/>
      <c r="B102" s="237"/>
      <c r="C102" s="238"/>
      <c r="D102" s="239"/>
      <c r="E102" s="236"/>
      <c r="F102" s="236"/>
    </row>
    <row r="103">
      <c r="A103" s="237"/>
      <c r="B103" s="237"/>
      <c r="C103" s="238"/>
      <c r="D103" s="239"/>
      <c r="E103" s="236"/>
      <c r="F103" s="236"/>
    </row>
    <row r="104">
      <c r="A104" s="237"/>
      <c r="B104" s="237"/>
      <c r="C104" s="238"/>
      <c r="D104" s="239"/>
      <c r="E104" s="236"/>
      <c r="F104" s="236"/>
    </row>
    <row r="105">
      <c r="A105" s="237"/>
      <c r="B105" s="237"/>
      <c r="C105" s="238"/>
      <c r="D105" s="239"/>
      <c r="E105" s="236"/>
      <c r="F105" s="236"/>
    </row>
    <row r="106">
      <c r="A106" s="237"/>
      <c r="B106" s="237"/>
      <c r="C106" s="238"/>
      <c r="D106" s="239"/>
      <c r="E106" s="236"/>
      <c r="F106" s="236"/>
    </row>
    <row r="107">
      <c r="A107" s="237"/>
      <c r="B107" s="237"/>
      <c r="C107" s="238"/>
      <c r="D107" s="239"/>
      <c r="E107" s="236"/>
      <c r="F107" s="236"/>
    </row>
    <row r="108">
      <c r="A108" s="237"/>
      <c r="B108" s="237"/>
      <c r="C108" s="238"/>
      <c r="D108" s="239"/>
      <c r="E108" s="236"/>
      <c r="F108" s="236"/>
    </row>
    <row r="109">
      <c r="A109" s="237"/>
      <c r="B109" s="237"/>
      <c r="C109" s="238"/>
      <c r="D109" s="239"/>
      <c r="E109" s="236"/>
      <c r="F109" s="236"/>
    </row>
    <row r="110">
      <c r="A110" s="237"/>
      <c r="B110" s="237"/>
      <c r="C110" s="238"/>
      <c r="D110" s="239"/>
      <c r="E110" s="236"/>
      <c r="F110" s="236"/>
    </row>
    <row r="111">
      <c r="A111" s="237"/>
      <c r="B111" s="237"/>
      <c r="C111" s="238"/>
      <c r="D111" s="239"/>
      <c r="E111" s="236"/>
      <c r="F111" s="236"/>
    </row>
    <row r="112">
      <c r="A112" s="237"/>
      <c r="B112" s="237"/>
      <c r="C112" s="238"/>
      <c r="D112" s="239"/>
      <c r="E112" s="236"/>
      <c r="F112" s="236"/>
    </row>
    <row r="113">
      <c r="A113" s="237"/>
      <c r="B113" s="237"/>
      <c r="C113" s="238"/>
      <c r="D113" s="239"/>
      <c r="E113" s="236"/>
      <c r="F113" s="236"/>
    </row>
    <row r="114">
      <c r="A114" s="237"/>
      <c r="B114" s="237"/>
      <c r="C114" s="238"/>
      <c r="D114" s="239"/>
      <c r="E114" s="236"/>
      <c r="F114" s="236"/>
    </row>
    <row r="115">
      <c r="A115" s="237"/>
      <c r="B115" s="237"/>
      <c r="C115" s="238"/>
      <c r="D115" s="239"/>
      <c r="E115" s="236"/>
      <c r="F115" s="236"/>
    </row>
    <row r="116">
      <c r="A116" s="237"/>
      <c r="B116" s="237"/>
      <c r="C116" s="238"/>
      <c r="D116" s="239"/>
      <c r="E116" s="236"/>
      <c r="F116" s="236"/>
    </row>
    <row r="117">
      <c r="A117" s="237"/>
      <c r="B117" s="237"/>
      <c r="C117" s="238"/>
      <c r="D117" s="239"/>
      <c r="E117" s="236"/>
      <c r="F117" s="236"/>
    </row>
    <row r="118">
      <c r="A118" s="237"/>
      <c r="B118" s="237"/>
      <c r="C118" s="238"/>
      <c r="D118" s="239"/>
      <c r="E118" s="236"/>
      <c r="F118" s="236"/>
    </row>
    <row r="119">
      <c r="A119" s="237"/>
      <c r="B119" s="237"/>
      <c r="C119" s="238"/>
      <c r="D119" s="239"/>
      <c r="E119" s="236"/>
      <c r="F119" s="236"/>
    </row>
    <row r="120">
      <c r="A120" s="237"/>
      <c r="B120" s="237"/>
      <c r="C120" s="238"/>
      <c r="D120" s="239"/>
      <c r="E120" s="236"/>
      <c r="F120" s="236"/>
    </row>
    <row r="121">
      <c r="A121" s="237"/>
      <c r="B121" s="237"/>
      <c r="C121" s="238"/>
      <c r="D121" s="239"/>
      <c r="E121" s="236"/>
      <c r="F121" s="236"/>
    </row>
    <row r="122">
      <c r="A122" s="237"/>
      <c r="B122" s="237"/>
      <c r="C122" s="238"/>
      <c r="D122" s="239"/>
      <c r="E122" s="236"/>
      <c r="F122" s="236"/>
    </row>
    <row r="123">
      <c r="A123" s="237"/>
      <c r="B123" s="237"/>
      <c r="C123" s="238"/>
      <c r="D123" s="239"/>
      <c r="E123" s="236"/>
      <c r="F123" s="236"/>
    </row>
    <row r="124">
      <c r="A124" s="237"/>
      <c r="B124" s="237"/>
      <c r="C124" s="238"/>
      <c r="D124" s="239"/>
      <c r="E124" s="236"/>
      <c r="F124" s="236"/>
    </row>
    <row r="125">
      <c r="A125" s="237"/>
      <c r="B125" s="237"/>
      <c r="C125" s="238"/>
      <c r="D125" s="239"/>
      <c r="E125" s="236"/>
      <c r="F125" s="236"/>
    </row>
    <row r="126">
      <c r="A126" s="237"/>
      <c r="B126" s="237"/>
      <c r="C126" s="238"/>
      <c r="D126" s="239"/>
      <c r="E126" s="236"/>
      <c r="F126" s="236"/>
    </row>
    <row r="127">
      <c r="A127" s="237"/>
      <c r="B127" s="237"/>
      <c r="C127" s="238"/>
      <c r="D127" s="239"/>
      <c r="E127" s="236"/>
      <c r="F127" s="236"/>
    </row>
    <row r="128">
      <c r="A128" s="237"/>
      <c r="B128" s="237"/>
      <c r="C128" s="238"/>
      <c r="D128" s="239"/>
      <c r="E128" s="236"/>
      <c r="F128" s="236"/>
    </row>
    <row r="129">
      <c r="A129" s="237"/>
      <c r="B129" s="237"/>
      <c r="C129" s="238"/>
      <c r="D129" s="239"/>
      <c r="E129" s="236"/>
      <c r="F129" s="236"/>
    </row>
    <row r="130">
      <c r="A130" s="237"/>
      <c r="B130" s="237"/>
      <c r="C130" s="238"/>
      <c r="D130" s="239"/>
      <c r="E130" s="236"/>
      <c r="F130" s="236"/>
    </row>
    <row r="131">
      <c r="A131" s="237"/>
      <c r="B131" s="237"/>
      <c r="C131" s="238"/>
      <c r="D131" s="239"/>
      <c r="E131" s="236"/>
      <c r="F131" s="236"/>
    </row>
    <row r="132">
      <c r="A132" s="237"/>
      <c r="B132" s="237"/>
      <c r="C132" s="238"/>
      <c r="D132" s="239"/>
      <c r="E132" s="236"/>
      <c r="F132" s="236"/>
    </row>
    <row r="133">
      <c r="A133" s="237"/>
      <c r="B133" s="237"/>
      <c r="C133" s="238"/>
      <c r="D133" s="239"/>
      <c r="E133" s="236"/>
      <c r="F133" s="236"/>
    </row>
    <row r="134">
      <c r="A134" s="237"/>
      <c r="B134" s="237"/>
      <c r="C134" s="238"/>
      <c r="D134" s="239"/>
      <c r="E134" s="236"/>
      <c r="F134" s="236"/>
    </row>
    <row r="135">
      <c r="A135" s="237"/>
      <c r="B135" s="237"/>
      <c r="C135" s="238"/>
      <c r="D135" s="239"/>
      <c r="E135" s="236"/>
      <c r="F135" s="236"/>
    </row>
    <row r="136">
      <c r="A136" s="237"/>
      <c r="B136" s="237"/>
      <c r="C136" s="238"/>
      <c r="D136" s="239"/>
      <c r="E136" s="236"/>
      <c r="F136" s="236"/>
    </row>
    <row r="137">
      <c r="A137" s="237"/>
      <c r="B137" s="237"/>
      <c r="C137" s="238"/>
      <c r="D137" s="239"/>
      <c r="E137" s="236"/>
      <c r="F137" s="236"/>
    </row>
    <row r="138">
      <c r="A138" s="237"/>
      <c r="B138" s="237"/>
      <c r="C138" s="238"/>
      <c r="D138" s="239"/>
      <c r="E138" s="236"/>
      <c r="F138" s="236"/>
    </row>
    <row r="139">
      <c r="A139" s="237"/>
      <c r="B139" s="237"/>
      <c r="C139" s="238"/>
      <c r="D139" s="239"/>
      <c r="E139" s="236"/>
      <c r="F139" s="236"/>
    </row>
    <row r="140">
      <c r="A140" s="237"/>
      <c r="B140" s="237"/>
      <c r="C140" s="238"/>
      <c r="D140" s="239"/>
      <c r="E140" s="236"/>
      <c r="F140" s="236"/>
    </row>
    <row r="141">
      <c r="A141" s="237"/>
      <c r="B141" s="237"/>
      <c r="C141" s="238"/>
      <c r="D141" s="239"/>
      <c r="E141" s="236"/>
      <c r="F141" s="236"/>
    </row>
    <row r="142">
      <c r="A142" s="237"/>
      <c r="B142" s="237"/>
      <c r="C142" s="238"/>
      <c r="D142" s="239"/>
      <c r="E142" s="236"/>
      <c r="F142" s="236"/>
    </row>
    <row r="143">
      <c r="A143" s="237"/>
      <c r="B143" s="237"/>
      <c r="C143" s="238"/>
      <c r="D143" s="239"/>
      <c r="E143" s="236"/>
      <c r="F143" s="236"/>
    </row>
    <row r="144">
      <c r="A144" s="237"/>
      <c r="B144" s="237"/>
      <c r="C144" s="238"/>
      <c r="D144" s="239"/>
      <c r="E144" s="236"/>
      <c r="F144" s="236"/>
    </row>
    <row r="145">
      <c r="A145" s="237"/>
      <c r="B145" s="237"/>
      <c r="C145" s="238"/>
      <c r="D145" s="239"/>
      <c r="E145" s="236"/>
      <c r="F145" s="236"/>
    </row>
    <row r="146">
      <c r="A146" s="237"/>
      <c r="B146" s="237"/>
      <c r="C146" s="238"/>
      <c r="D146" s="239"/>
      <c r="E146" s="236"/>
      <c r="F146" s="236"/>
    </row>
    <row r="147">
      <c r="A147" s="237"/>
      <c r="B147" s="237"/>
      <c r="C147" s="238"/>
      <c r="D147" s="239"/>
      <c r="E147" s="236"/>
      <c r="F147" s="236"/>
    </row>
    <row r="148">
      <c r="A148" s="237"/>
      <c r="B148" s="237"/>
      <c r="C148" s="238"/>
      <c r="D148" s="239"/>
      <c r="E148" s="236"/>
      <c r="F148" s="236"/>
    </row>
    <row r="149">
      <c r="A149" s="237"/>
      <c r="B149" s="237"/>
      <c r="C149" s="238"/>
      <c r="D149" s="239"/>
      <c r="E149" s="236"/>
      <c r="F149" s="236"/>
    </row>
    <row r="150">
      <c r="A150" s="237"/>
      <c r="B150" s="237"/>
      <c r="C150" s="238"/>
      <c r="D150" s="239"/>
      <c r="E150" s="236"/>
      <c r="F150" s="236"/>
    </row>
    <row r="151">
      <c r="A151" s="237"/>
      <c r="B151" s="237"/>
      <c r="C151" s="238"/>
      <c r="D151" s="239"/>
      <c r="E151" s="236"/>
      <c r="F151" s="236"/>
    </row>
    <row r="152">
      <c r="A152" s="237"/>
      <c r="B152" s="237"/>
      <c r="C152" s="238"/>
      <c r="D152" s="239"/>
      <c r="E152" s="236"/>
      <c r="F152" s="236"/>
    </row>
  </sheetData>
  <mergeCells count="1">
    <mergeCell ref="A1:E1"/>
  </mergeCells>
  <conditionalFormatting sqref="A59:F59">
    <cfRule type="notContainsBlanks" dxfId="1" priority="1">
      <formula>LEN(TRIM(A59))&gt;0</formula>
    </cfRule>
  </conditionalFormatting>
  <hyperlinks>
    <hyperlink r:id="rId2" ref="B76"/>
  </hyperlinks>
  <drawing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2.75"/>
    <col customWidth="1" min="3" max="3" width="58.13"/>
    <col customWidth="1" min="4" max="4" width="16.0"/>
    <col customWidth="1" hidden="1" min="5" max="5" width="26.0"/>
    <col customWidth="1" hidden="1" min="6" max="6" width="18.88"/>
  </cols>
  <sheetData>
    <row r="1">
      <c r="A1" s="241" t="str">
        <f>IFERROR(__xludf.DUMMYFUNCTION("importrange(""https://docs.google.com/spreadsheets/d/1lLUezGr04gttZmCjozdXOUr60iM6OX1ezrYWKwC1J1g/edit?gid=1274817499#gid=1274817499"",""600.VPA!A:E"")"),"600.VPA Form Result - 양식 결과 ")</f>
        <v>600.VPA Form Result - 양식 결과 </v>
      </c>
      <c r="F1" s="242"/>
    </row>
    <row r="2" ht="30.0" customHeight="1">
      <c r="A2" s="243" t="str">
        <f>IFERROR(__xludf.DUMMYFUNCTION("""COMPUTED_VALUE"""),"Timestamp")</f>
        <v>Timestamp</v>
      </c>
      <c r="B2" s="244" t="str">
        <f>IFERROR(__xludf.DUMMYFUNCTION("""COMPUTED_VALUE"""),"1. Penalty &amp; Bonus Staff - Tên Nhân Viên")</f>
        <v>1. Penalty &amp; Bonus Staff - Tên Nhân Viên</v>
      </c>
      <c r="C2" s="245" t="str">
        <f>IFERROR(__xludf.DUMMYFUNCTION("""COMPUTED_VALUE"""),"2. Reason - 이유 - Lý Do:")</f>
        <v>2. Reason - 이유 - Lý Do:</v>
      </c>
      <c r="D2" s="246" t="str">
        <f>IFERROR(__xludf.DUMMYFUNCTION("""COMPUTED_VALUE"""),"3. Penalty Point (-) / Bonus Point (+) ")</f>
        <v>3. Penalty Point (-) / Bonus Point (+) </v>
      </c>
      <c r="E2" s="245" t="str">
        <f>IFERROR(__xludf.DUMMYFUNCTION("""COMPUTED_VALUE"""),"4. Note - 노트 - Ghi chú")</f>
        <v>4. Note - 노트 - Ghi chú</v>
      </c>
      <c r="F2" s="245"/>
    </row>
    <row r="3" hidden="1">
      <c r="A3" s="221">
        <f>IFERROR(__xludf.DUMMYFUNCTION("""COMPUTED_VALUE"""),44973.60000027777)</f>
        <v>44973.6</v>
      </c>
      <c r="B3" s="197" t="str">
        <f>IFERROR(__xludf.DUMMYFUNCTION("""COMPUTED_VALUE"""),"VPA - 600 - Trang")</f>
        <v>VPA - 600 - Trang</v>
      </c>
      <c r="C3" s="197" t="str">
        <f>IFERROR(__xludf.DUMMYFUNCTION("""COMPUTED_VALUE"""),"Tích cực Xây dựng Cách triển khai bản vẽ mới bằng phần mềm Auto CAD")</f>
        <v>Tích cực Xây dựng Cách triển khai bản vẽ mới bằng phần mềm Auto CAD</v>
      </c>
      <c r="D3" s="247">
        <f>IFERROR(__xludf.DUMMYFUNCTION("""COMPUTED_VALUE"""),2.0)</f>
        <v>2</v>
      </c>
      <c r="E3" s="197"/>
    </row>
    <row r="4" hidden="1">
      <c r="A4" s="221">
        <f>IFERROR(__xludf.DUMMYFUNCTION("""COMPUTED_VALUE"""),44973.60102137731)</f>
        <v>44973.60102</v>
      </c>
      <c r="B4" s="197" t="str">
        <f>IFERROR(__xludf.DUMMYFUNCTION("""COMPUTED_VALUE"""),"VPA - 600 - Giang")</f>
        <v>VPA - 600 - Giang</v>
      </c>
      <c r="C4" s="197" t="str">
        <f>IFERROR(__xludf.DUMMYFUNCTION("""COMPUTED_VALUE"""),"Tích cực tham gia Cập nhật Tài liệu chuẩn hóa")</f>
        <v>Tích cực tham gia Cập nhật Tài liệu chuẩn hóa</v>
      </c>
      <c r="D4" s="247">
        <f>IFERROR(__xludf.DUMMYFUNCTION("""COMPUTED_VALUE"""),1.0)</f>
        <v>1</v>
      </c>
      <c r="E4" s="197"/>
    </row>
    <row r="5" hidden="1">
      <c r="A5" s="221">
        <f>IFERROR(__xludf.DUMMYFUNCTION("""COMPUTED_VALUE"""),45148.459015810186)</f>
        <v>45148.45902</v>
      </c>
      <c r="B5" s="197" t="str">
        <f>IFERROR(__xludf.DUMMYFUNCTION("""COMPUTED_VALUE"""),"VPA - 600 - Duong")</f>
        <v>VPA - 600 - Duong</v>
      </c>
      <c r="C5" s="197" t="str">
        <f>IFERROR(__xludf.DUMMYFUNCTION("""COMPUTED_VALUE"""),"Làm tốt công việc DA FLC Nhơn Lý")</f>
        <v>Làm tốt công việc DA FLC Nhơn Lý</v>
      </c>
      <c r="D5" s="247">
        <f>IFERROR(__xludf.DUMMYFUNCTION("""COMPUTED_VALUE"""),0.0)</f>
        <v>0</v>
      </c>
      <c r="E5" s="197" t="str">
        <f>IFERROR(__xludf.DUMMYFUNCTION("""COMPUTED_VALUE"""),"File GG Slide Định hướng TKYT")</f>
        <v>File GG Slide Định hướng TKYT</v>
      </c>
    </row>
    <row r="6" hidden="1">
      <c r="A6" s="221">
        <f>IFERROR(__xludf.DUMMYFUNCTION("""COMPUTED_VALUE"""),45148.46046416667)</f>
        <v>45148.46046</v>
      </c>
      <c r="B6" s="197" t="str">
        <f>IFERROR(__xludf.DUMMYFUNCTION("""COMPUTED_VALUE"""),"VPA - 600 - Trang")</f>
        <v>VPA - 600 - Trang</v>
      </c>
      <c r="C6" s="197" t="str">
        <f>IFERROR(__xludf.DUMMYFUNCTION("""COMPUTED_VALUE"""),"Quản lý Team hoàn thành tốt công việc")</f>
        <v>Quản lý Team hoàn thành tốt công việc</v>
      </c>
      <c r="D6" s="247">
        <f>IFERROR(__xludf.DUMMYFUNCTION("""COMPUTED_VALUE"""),1.0)</f>
        <v>1</v>
      </c>
      <c r="E6" s="197" t="str">
        <f>IFERROR(__xludf.DUMMYFUNCTION("""COMPUTED_VALUE"""),"Dự án Newland Hải Phòng (TKCS + BVTC)")</f>
        <v>Dự án Newland Hải Phòng (TKCS + BVTC)</v>
      </c>
    </row>
    <row r="7" hidden="1">
      <c r="A7" s="221">
        <f>IFERROR(__xludf.DUMMYFUNCTION("""COMPUTED_VALUE"""),45152.63636186343)</f>
        <v>45152.63636</v>
      </c>
      <c r="B7" s="197" t="str">
        <f>IFERROR(__xludf.DUMMYFUNCTION("""COMPUTED_VALUE"""),"VPA - 600 - Vu")</f>
        <v>VPA - 600 - Vu</v>
      </c>
      <c r="C7" s="197" t="str">
        <f>IFERROR(__xludf.DUMMYFUNCTION("""COMPUTED_VALUE"""),"Không giữ vệ sinh văn phòng")</f>
        <v>Không giữ vệ sinh văn phòng</v>
      </c>
      <c r="D7" s="247">
        <f>IFERROR(__xludf.DUMMYFUNCTION("""COMPUTED_VALUE"""),-1.0)</f>
        <v>-1</v>
      </c>
      <c r="E7" s="197" t="str">
        <f>IFERROR(__xludf.DUMMYFUNCTION("""COMPUTED_VALUE"""),"Kết thúc thời gian làm việc ở VPA HN không dọn dẹp chỗ ngồi làm việc")</f>
        <v>Kết thúc thời gian làm việc ở VPA HN không dọn dẹp chỗ ngồi làm việc</v>
      </c>
    </row>
    <row r="8" hidden="1">
      <c r="A8" s="221">
        <f>IFERROR(__xludf.DUMMYFUNCTION("""COMPUTED_VALUE"""),45152.63782054398)</f>
        <v>45152.63782</v>
      </c>
      <c r="B8" s="197" t="str">
        <f>IFERROR(__xludf.DUMMYFUNCTION("""COMPUTED_VALUE"""),"VPA - 600 - Duong")</f>
        <v>VPA - 600 - Duong</v>
      </c>
      <c r="C8" s="197" t="str">
        <f>IFERROR(__xludf.DUMMYFUNCTION("""COMPUTED_VALUE"""),"Làm tốt công việc")</f>
        <v>Làm tốt công việc</v>
      </c>
      <c r="D8" s="247">
        <f>IFERROR(__xludf.DUMMYFUNCTION("""COMPUTED_VALUE"""),0.0)</f>
        <v>0</v>
      </c>
      <c r="E8" s="197" t="str">
        <f>IFERROR(__xludf.DUMMYFUNCTION("""COMPUTED_VALUE"""),"Concept sơ bộ DA SGROUP Hoa Phong")</f>
        <v>Concept sơ bộ DA SGROUP Hoa Phong</v>
      </c>
    </row>
    <row r="9" hidden="1">
      <c r="A9" s="221">
        <f>IFERROR(__xludf.DUMMYFUNCTION("""COMPUTED_VALUE"""),45152.643565949074)</f>
        <v>45152.64357</v>
      </c>
      <c r="B9" s="197" t="str">
        <f>IFERROR(__xludf.DUMMYFUNCTION("""COMPUTED_VALUE"""),"VPA - 600 - Vu")</f>
        <v>VPA - 600 - Vu</v>
      </c>
      <c r="C9" s="197" t="str">
        <f>IFERROR(__xludf.DUMMYFUNCTION("""COMPUTED_VALUE"""),"Báo cáo công việc ngày")</f>
        <v>Báo cáo công việc ngày</v>
      </c>
      <c r="D9" s="247">
        <f>IFERROR(__xludf.DUMMYFUNCTION("""COMPUTED_VALUE"""),-1.0)</f>
        <v>-1</v>
      </c>
      <c r="E9" s="197" t="str">
        <f>IFERROR(__xludf.DUMMYFUNCTION("""COMPUTED_VALUE"""),"Không làm báo cáo công việc trên Calenda")</f>
        <v>Không làm báo cáo công việc trên Calenda</v>
      </c>
    </row>
    <row r="10" hidden="1">
      <c r="A10" s="221">
        <f>IFERROR(__xludf.DUMMYFUNCTION("""COMPUTED_VALUE"""),45152.64403501157)</f>
        <v>45152.64404</v>
      </c>
      <c r="B10" s="197" t="str">
        <f>IFERROR(__xludf.DUMMYFUNCTION("""COMPUTED_VALUE"""),"VPA - 600 - Duong")</f>
        <v>VPA - 600 - Duong</v>
      </c>
      <c r="C10" s="197" t="str">
        <f>IFERROR(__xludf.DUMMYFUNCTION("""COMPUTED_VALUE"""),"Không làm báo cáo công việc trên Calenda")</f>
        <v>Không làm báo cáo công việc trên Calenda</v>
      </c>
      <c r="D10" s="247">
        <f>IFERROR(__xludf.DUMMYFUNCTION("""COMPUTED_VALUE"""),-1.0)</f>
        <v>-1</v>
      </c>
      <c r="E10" s="197" t="str">
        <f>IFERROR(__xludf.DUMMYFUNCTION("""COMPUTED_VALUE"""),"Tuần 31/07 - 05/08")</f>
        <v>Tuần 31/07 - 05/08</v>
      </c>
    </row>
    <row r="11" hidden="1">
      <c r="A11" s="221">
        <f>IFERROR(__xludf.DUMMYFUNCTION("""COMPUTED_VALUE"""),45152.644521504626)</f>
        <v>45152.64452</v>
      </c>
      <c r="B11" s="197" t="str">
        <f>IFERROR(__xludf.DUMMYFUNCTION("""COMPUTED_VALUE"""),"VPA - Team Leader - Mui")</f>
        <v>VPA - Team Leader - Mui</v>
      </c>
      <c r="C11" s="197" t="str">
        <f>IFERROR(__xludf.DUMMYFUNCTION("""COMPUTED_VALUE"""),"Không làm báo cáo công việc trên Calenda")</f>
        <v>Không làm báo cáo công việc trên Calenda</v>
      </c>
      <c r="D11" s="247">
        <f>IFERROR(__xludf.DUMMYFUNCTION("""COMPUTED_VALUE"""),-1.0)</f>
        <v>-1</v>
      </c>
      <c r="E11" s="197" t="str">
        <f>IFERROR(__xludf.DUMMYFUNCTION("""COMPUTED_VALUE"""),"Tuần 31/07 - 05/08")</f>
        <v>Tuần 31/07 - 05/08</v>
      </c>
    </row>
    <row r="12" hidden="1">
      <c r="A12" s="221">
        <f>IFERROR(__xludf.DUMMYFUNCTION("""COMPUTED_VALUE"""),45159.628953472224)</f>
        <v>45159.62895</v>
      </c>
      <c r="B12" s="197" t="str">
        <f>IFERROR(__xludf.DUMMYFUNCTION("""COMPUTED_VALUE"""),"VPA - 600 - Giang")</f>
        <v>VPA - 600 - Giang</v>
      </c>
      <c r="C12" s="197" t="str">
        <f>IFERROR(__xludf.DUMMYFUNCTION("""COMPUTED_VALUE"""),"Không báo cáo công việc trên Calenda")</f>
        <v>Không báo cáo công việc trên Calenda</v>
      </c>
      <c r="D12" s="247">
        <f>IFERROR(__xludf.DUMMYFUNCTION("""COMPUTED_VALUE"""),-1.0)</f>
        <v>-1</v>
      </c>
      <c r="E12" s="197" t="str">
        <f>IFERROR(__xludf.DUMMYFUNCTION("""COMPUTED_VALUE"""),"Tuần 31/07 - 05/08")</f>
        <v>Tuần 31/07 - 05/08</v>
      </c>
    </row>
    <row r="13" hidden="1">
      <c r="A13" s="221">
        <f>IFERROR(__xludf.DUMMYFUNCTION("""COMPUTED_VALUE"""),45159.63812366898)</f>
        <v>45159.63812</v>
      </c>
      <c r="B13" s="197" t="str">
        <f>IFERROR(__xludf.DUMMYFUNCTION("""COMPUTED_VALUE"""),"VPA - 600 - Vu")</f>
        <v>VPA - 600 - Vu</v>
      </c>
      <c r="C13" s="197" t="str">
        <f>IFERROR(__xludf.DUMMYFUNCTION("""COMPUTED_VALUE"""),"Xây dựng tốt bài Training")</f>
        <v>Xây dựng tốt bài Training</v>
      </c>
      <c r="D13" s="247">
        <f>IFERROR(__xludf.DUMMYFUNCTION("""COMPUTED_VALUE"""),1.0)</f>
        <v>1</v>
      </c>
      <c r="E13" s="197" t="str">
        <f>IFERROR(__xludf.DUMMYFUNCTION("""COMPUTED_VALUE"""),"Bài Các khái niệm chung về Quy hoạch")</f>
        <v>Bài Các khái niệm chung về Quy hoạch</v>
      </c>
    </row>
    <row r="14" hidden="1">
      <c r="A14" s="221">
        <f>IFERROR(__xludf.DUMMYFUNCTION("""COMPUTED_VALUE"""),45159.63999373843)</f>
        <v>45159.63999</v>
      </c>
      <c r="B14" s="197" t="str">
        <f>IFERROR(__xludf.DUMMYFUNCTION("""COMPUTED_VALUE"""),"VPA - 600 - Duong")</f>
        <v>VPA - 600 - Duong</v>
      </c>
      <c r="C14" s="197" t="str">
        <f>IFERROR(__xludf.DUMMYFUNCTION("""COMPUTED_VALUE"""),"Xây dựng tốt bài Training")</f>
        <v>Xây dựng tốt bài Training</v>
      </c>
      <c r="D14" s="247">
        <f>IFERROR(__xludf.DUMMYFUNCTION("""COMPUTED_VALUE"""),1.0)</f>
        <v>1</v>
      </c>
      <c r="E14" s="197" t="str">
        <f>IFERROR(__xludf.DUMMYFUNCTION("""COMPUTED_VALUE"""),"Bài về chủ đề Thang Máy")</f>
        <v>Bài về chủ đề Thang Máy</v>
      </c>
    </row>
    <row r="15" hidden="1">
      <c r="A15" s="221">
        <f>IFERROR(__xludf.DUMMYFUNCTION("""COMPUTED_VALUE"""),45159.64076137732)</f>
        <v>45159.64076</v>
      </c>
      <c r="B15" s="197" t="str">
        <f>IFERROR(__xludf.DUMMYFUNCTION("""COMPUTED_VALUE"""),"VPA - 600 - Thoai")</f>
        <v>VPA - 600 - Thoai</v>
      </c>
      <c r="C15" s="197" t="str">
        <f>IFERROR(__xludf.DUMMYFUNCTION("""COMPUTED_VALUE"""),"Làm tốt công việc khó nhận bàn giao từ người khác")</f>
        <v>Làm tốt công việc khó nhận bàn giao từ người khác</v>
      </c>
      <c r="D15" s="247">
        <f>IFERROR(__xludf.DUMMYFUNCTION("""COMPUTED_VALUE"""),1.0)</f>
        <v>1</v>
      </c>
      <c r="E15" s="197" t="str">
        <f>IFERROR(__xludf.DUMMYFUNCTION("""COMPUTED_VALUE"""),"Dự án Cường Thịnh (TKCS)")</f>
        <v>Dự án Cường Thịnh (TKCS)</v>
      </c>
    </row>
    <row r="16" hidden="1">
      <c r="A16" s="221">
        <f>IFERROR(__xludf.DUMMYFUNCTION("""COMPUTED_VALUE"""),45159.641793703704)</f>
        <v>45159.64179</v>
      </c>
      <c r="B16" s="197" t="str">
        <f>IFERROR(__xludf.DUMMYFUNCTION("""COMPUTED_VALUE"""),"VPA - 600 - Thoai")</f>
        <v>VPA - 600 - Thoai</v>
      </c>
      <c r="C16" s="197" t="str">
        <f>IFERROR(__xludf.DUMMYFUNCTION("""COMPUTED_VALUE"""),"Làm tốt công tác báo cáo")</f>
        <v>Làm tốt công tác báo cáo</v>
      </c>
      <c r="D16" s="247">
        <f>IFERROR(__xludf.DUMMYFUNCTION("""COMPUTED_VALUE"""),1.0)</f>
        <v>1</v>
      </c>
      <c r="E16" s="197" t="str">
        <f>IFERROR(__xludf.DUMMYFUNCTION("""COMPUTED_VALUE"""),"Báo cáo trên Calenda đúng quy định")</f>
        <v>Báo cáo trên Calenda đúng quy định</v>
      </c>
    </row>
    <row r="17" hidden="1">
      <c r="A17" s="221">
        <f>IFERROR(__xludf.DUMMYFUNCTION("""COMPUTED_VALUE"""),45210.383897928245)</f>
        <v>45210.3839</v>
      </c>
      <c r="B17" s="197" t="str">
        <f>IFERROR(__xludf.DUMMYFUNCTION("""COMPUTED_VALUE"""),"VPA - Team Leader - Mui")</f>
        <v>VPA - Team Leader - Mui</v>
      </c>
      <c r="C17" s="197" t="str">
        <f>IFERROR(__xludf.DUMMYFUNCTION("""COMPUTED_VALUE"""),"Xây dựng tốt bài Training")</f>
        <v>Xây dựng tốt bài Training</v>
      </c>
      <c r="D17" s="247">
        <f>IFERROR(__xludf.DUMMYFUNCTION("""COMPUTED_VALUE"""),1.0)</f>
        <v>1</v>
      </c>
      <c r="E17" s="197" t="str">
        <f>IFERROR(__xludf.DUMMYFUNCTION("""COMPUTED_VALUE"""),"Bài về chủ đề Công trình Nhà máy ngày 11/08/2023")</f>
        <v>Bài về chủ đề Công trình Nhà máy ngày 11/08/2023</v>
      </c>
    </row>
    <row r="18" hidden="1">
      <c r="A18" s="221">
        <f>IFERROR(__xludf.DUMMYFUNCTION("""COMPUTED_VALUE"""),45210.38664778935)</f>
        <v>45210.38665</v>
      </c>
      <c r="B18" s="197" t="str">
        <f>IFERROR(__xludf.DUMMYFUNCTION("""COMPUTED_VALUE"""),"VPA - 600 - Hieu")</f>
        <v>VPA - 600 - Hieu</v>
      </c>
      <c r="C18" s="197" t="str">
        <f>IFERROR(__xludf.DUMMYFUNCTION("""COMPUTED_VALUE"""),"Đóng góp ý kiến cho các việc chung")</f>
        <v>Đóng góp ý kiến cho các việc chung</v>
      </c>
      <c r="D18" s="247">
        <f>IFERROR(__xludf.DUMMYFUNCTION("""COMPUTED_VALUE"""),1.0)</f>
        <v>1</v>
      </c>
      <c r="E18" s="197" t="str">
        <f>IFERROR(__xludf.DUMMYFUNCTION("""COMPUTED_VALUE"""),"Xung phong nhận nhiệm vụ giữ vệ sinh phòng")</f>
        <v>Xung phong nhận nhiệm vụ giữ vệ sinh phòng</v>
      </c>
    </row>
    <row r="19" hidden="1">
      <c r="A19" s="221">
        <f>IFERROR(__xludf.DUMMYFUNCTION("""COMPUTED_VALUE"""),45210.38722030092)</f>
        <v>45210.38722</v>
      </c>
      <c r="B19" s="197" t="str">
        <f>IFERROR(__xludf.DUMMYFUNCTION("""COMPUTED_VALUE"""),"VPA - 600 - Giang")</f>
        <v>VPA - 600 - Giang</v>
      </c>
      <c r="C19" s="197" t="str">
        <f>IFERROR(__xludf.DUMMYFUNCTION("""COMPUTED_VALUE"""),"Đóng góp ý kiến cho các việc chung")</f>
        <v>Đóng góp ý kiến cho các việc chung</v>
      </c>
      <c r="D19" s="247">
        <f>IFERROR(__xludf.DUMMYFUNCTION("""COMPUTED_VALUE"""),1.0)</f>
        <v>1</v>
      </c>
      <c r="E19" s="197" t="str">
        <f>IFERROR(__xludf.DUMMYFUNCTION("""COMPUTED_VALUE"""),"Xung phong nhận nhiệm vụ giữ gìn vệ sinh phòng")</f>
        <v>Xung phong nhận nhiệm vụ giữ gìn vệ sinh phòng</v>
      </c>
    </row>
    <row r="20" hidden="1">
      <c r="A20" s="221">
        <f>IFERROR(__xludf.DUMMYFUNCTION("""COMPUTED_VALUE"""),44944.483402777776)</f>
        <v>44944.4834</v>
      </c>
      <c r="B20" s="197" t="str">
        <f>IFERROR(__xludf.DUMMYFUNCTION("""COMPUTED_VALUE"""),"VPA - 600 - Thoai")</f>
        <v>VPA - 600 - Thoai</v>
      </c>
      <c r="C20" s="197" t="str">
        <f>IFERROR(__xludf.DUMMYFUNCTION("""COMPUTED_VALUE"""),"Tích cực tham gia công tác chuyển văn phòng ngày 11/12")</f>
        <v>Tích cực tham gia công tác chuyển văn phòng ngày 11/12</v>
      </c>
      <c r="D20" s="247">
        <f>IFERROR(__xludf.DUMMYFUNCTION("""COMPUTED_VALUE"""),1.0)</f>
        <v>1</v>
      </c>
      <c r="E20" s="197" t="str">
        <f>IFERROR(__xludf.DUMMYFUNCTION("""COMPUTED_VALUE"""),"Do vẽ hiện trạng, lập bản vẽ cải tạo, vận chuyển đồ văn phòng")</f>
        <v>Do vẽ hiện trạng, lập bản vẽ cải tạo, vận chuyển đồ văn phòng</v>
      </c>
    </row>
    <row r="21" hidden="1">
      <c r="A21" s="221">
        <f>IFERROR(__xludf.DUMMYFUNCTION("""COMPUTED_VALUE"""),44944.48633101852)</f>
        <v>44944.48633</v>
      </c>
      <c r="B21" s="197" t="str">
        <f>IFERROR(__xludf.DUMMYFUNCTION("""COMPUTED_VALUE"""),"VPA - 600 - Hieu")</f>
        <v>VPA - 600 - Hieu</v>
      </c>
      <c r="C21" s="197" t="str">
        <f>IFERROR(__xludf.DUMMYFUNCTION("""COMPUTED_VALUE"""),"Tích cực hỗ trợ Boss xử lý công việc gấp ngày 15/12")</f>
        <v>Tích cực hỗ trợ Boss xử lý công việc gấp ngày 15/12</v>
      </c>
      <c r="D21" s="247">
        <f>IFERROR(__xludf.DUMMYFUNCTION("""COMPUTED_VALUE"""),1.0)</f>
        <v>1</v>
      </c>
      <c r="E21" s="197" t="str">
        <f>IFERROR(__xludf.DUMMYFUNCTION("""COMPUTED_VALUE"""),"Dự án QH TMB KĐT Nhân Mỹ - Hà Nam")</f>
        <v>Dự án QH TMB KĐT Nhân Mỹ - Hà Nam</v>
      </c>
    </row>
    <row r="22" hidden="1">
      <c r="A22" s="221">
        <f>IFERROR(__xludf.DUMMYFUNCTION("""COMPUTED_VALUE"""),44944.490949074076)</f>
        <v>44944.49095</v>
      </c>
      <c r="B22" s="197" t="str">
        <f>IFERROR(__xludf.DUMMYFUNCTION("""COMPUTED_VALUE"""),"VPA - Team Leader - Mui")</f>
        <v>VPA - Team Leader - Mui</v>
      </c>
      <c r="C22" s="197" t="str">
        <f>IFERROR(__xludf.DUMMYFUNCTION("""COMPUTED_VALUE"""),"Chủ động điều phối thầu phụ xử lý công việc với ADC")</f>
        <v>Chủ động điều phối thầu phụ xử lý công việc với ADC</v>
      </c>
      <c r="D22" s="247">
        <f>IFERROR(__xludf.DUMMYFUNCTION("""COMPUTED_VALUE"""),1.0)</f>
        <v>1</v>
      </c>
      <c r="E22" s="197" t="str">
        <f>IFERROR(__xludf.DUMMYFUNCTION("""COMPUTED_VALUE"""),"DA Cải tạo Nền nhà xưởng 1 Essa")</f>
        <v>DA Cải tạo Nền nhà xưởng 1 Essa</v>
      </c>
    </row>
    <row r="23" hidden="1">
      <c r="A23" s="221">
        <f>IFERROR(__xludf.DUMMYFUNCTION("""COMPUTED_VALUE"""),44944.49277777778)</f>
        <v>44944.49278</v>
      </c>
      <c r="B23" s="197" t="str">
        <f>IFERROR(__xludf.DUMMYFUNCTION("""COMPUTED_VALUE"""),"VPA - 600 - Duong")</f>
        <v>VPA - 600 - Duong</v>
      </c>
      <c r="C23" s="197" t="str">
        <f>IFERROR(__xludf.DUMMYFUNCTION("""COMPUTED_VALUE"""),"Không đạt yêu cầu công việc ngày 10/08/2023")</f>
        <v>Không đạt yêu cầu công việc ngày 10/08/2023</v>
      </c>
      <c r="D23" s="247">
        <f>IFERROR(__xludf.DUMMYFUNCTION("""COMPUTED_VALUE"""),-1.0)</f>
        <v>-1</v>
      </c>
      <c r="E23" s="197" t="str">
        <f>IFERROR(__xludf.DUMMYFUNCTION("""COMPUTED_VALUE"""),"DA Cường Thịnh (TKCS)")</f>
        <v>DA Cường Thịnh (TKCS)</v>
      </c>
    </row>
    <row r="24">
      <c r="A24" s="221">
        <f>IFERROR(__xludf.DUMMYFUNCTION("""COMPUTED_VALUE"""),45326.39952568287)</f>
        <v>45326.39953</v>
      </c>
      <c r="B24" s="197" t="str">
        <f>IFERROR(__xludf.DUMMYFUNCTION("""COMPUTED_VALUE"""),"VPA - 600 - Thoai")</f>
        <v>VPA - 600 - Thoai</v>
      </c>
      <c r="C24" s="197" t="str">
        <f>IFERROR(__xludf.DUMMYFUNCTION("""COMPUTED_VALUE"""),"Nỗ lực hoàn thành công việc khối lượng lớn")</f>
        <v>Nỗ lực hoàn thành công việc khối lượng lớn</v>
      </c>
      <c r="D24" s="247">
        <f>IFERROR(__xludf.DUMMYFUNCTION("""COMPUTED_VALUE"""),1.0)</f>
        <v>1</v>
      </c>
      <c r="E24" s="197" t="str">
        <f>IFERROR(__xludf.DUMMYFUNCTION("""COMPUTED_VALUE"""),"DA Cường Thịnh TKCS")</f>
        <v>DA Cường Thịnh TKCS</v>
      </c>
    </row>
    <row r="25">
      <c r="A25" s="221">
        <f>IFERROR(__xludf.DUMMYFUNCTION("""COMPUTED_VALUE"""),45326.40036799769)</f>
        <v>45326.40037</v>
      </c>
      <c r="B25" s="197" t="str">
        <f>IFERROR(__xludf.DUMMYFUNCTION("""COMPUTED_VALUE"""),"VPA - 600 - Hieu")</f>
        <v>VPA - 600 - Hieu</v>
      </c>
      <c r="C25" s="197" t="str">
        <f>IFERROR(__xludf.DUMMYFUNCTION("""COMPUTED_VALUE"""),"Nỗ lực hoàn thành công việc gấp")</f>
        <v>Nỗ lực hoàn thành công việc gấp</v>
      </c>
      <c r="D25" s="247">
        <f>IFERROR(__xludf.DUMMYFUNCTION("""COMPUTED_VALUE"""),1.0)</f>
        <v>1</v>
      </c>
      <c r="E25" s="197" t="str">
        <f>IFERROR(__xludf.DUMMYFUNCTION("""COMPUTED_VALUE"""),"DA MIK Hậu Nghĩa (Concept mẫu nhà)")</f>
        <v>DA MIK Hậu Nghĩa (Concept mẫu nhà)</v>
      </c>
    </row>
    <row r="26">
      <c r="A26" s="221">
        <f>IFERROR(__xludf.DUMMYFUNCTION("""COMPUTED_VALUE"""),45327.743591192135)</f>
        <v>45327.74359</v>
      </c>
      <c r="B26" s="197" t="str">
        <f>IFERROR(__xludf.DUMMYFUNCTION("""COMPUTED_VALUE"""),"VPA - 600 - Duong")</f>
        <v>VPA - 600 - Duong</v>
      </c>
      <c r="C26" s="197" t="str">
        <f>IFERROR(__xludf.DUMMYFUNCTION("""COMPUTED_VALUE"""),"Nghỉ khi DA tham gia đến hạn Deadline")</f>
        <v>Nghỉ khi DA tham gia đến hạn Deadline</v>
      </c>
      <c r="D26" s="247">
        <f>IFERROR(__xludf.DUMMYFUNCTION("""COMPUTED_VALUE"""),-1.0)</f>
        <v>-1</v>
      </c>
      <c r="E26" s="197" t="str">
        <f>IFERROR(__xludf.DUMMYFUNCTION("""COMPUTED_VALUE"""),"MIK Hậu Nghĩa")</f>
        <v>MIK Hậu Nghĩa</v>
      </c>
    </row>
    <row r="27">
      <c r="A27" s="221">
        <f>IFERROR(__xludf.DUMMYFUNCTION("""COMPUTED_VALUE"""),45327.74564479166)</f>
        <v>45327.74564</v>
      </c>
      <c r="B27" s="197" t="str">
        <f>IFERROR(__xludf.DUMMYFUNCTION("""COMPUTED_VALUE"""),"VPA - 600 - Duong")</f>
        <v>VPA - 600 - Duong</v>
      </c>
      <c r="C27" s="197" t="str">
        <f>IFERROR(__xludf.DUMMYFUNCTION("""COMPUTED_VALUE"""),"Thiếu tích cực với hoạt động của công ty")</f>
        <v>Thiếu tích cực với hoạt động của công ty</v>
      </c>
      <c r="D27" s="247">
        <f>IFERROR(__xludf.DUMMYFUNCTION("""COMPUTED_VALUE"""),-1.0)</f>
        <v>-1</v>
      </c>
      <c r="E27" s="197" t="str">
        <f>IFERROR(__xludf.DUMMYFUNCTION("""COMPUTED_VALUE"""),"Chỉ đánh giá 04 người ĐGNS cuối năm 2023")</f>
        <v>Chỉ đánh giá 04 người ĐGNS cuối năm 2023</v>
      </c>
    </row>
    <row r="28">
      <c r="A28" s="221">
        <f>IFERROR(__xludf.DUMMYFUNCTION("""COMPUTED_VALUE"""),45327.74665880787)</f>
        <v>45327.74666</v>
      </c>
      <c r="B28" s="197" t="str">
        <f>IFERROR(__xludf.DUMMYFUNCTION("""COMPUTED_VALUE"""),"VPA - 600 - Duong")</f>
        <v>VPA - 600 - Duong</v>
      </c>
      <c r="C28" s="197" t="str">
        <f>IFERROR(__xludf.DUMMYFUNCTION("""COMPUTED_VALUE"""),"Không thực hiện đúng quy trình/ quy định")</f>
        <v>Không thực hiện đúng quy trình/ quy định</v>
      </c>
      <c r="D28" s="247">
        <f>IFERROR(__xludf.DUMMYFUNCTION("""COMPUTED_VALUE"""),-1.0)</f>
        <v>-1</v>
      </c>
      <c r="E28" s="197" t="str">
        <f>IFERROR(__xludf.DUMMYFUNCTION("""COMPUTED_VALUE"""),"Lưu file/ triển khai công việc MIK sai quy định")</f>
        <v>Lưu file/ triển khai công việc MIK sai quy định</v>
      </c>
    </row>
    <row r="29">
      <c r="A29" s="221">
        <f>IFERROR(__xludf.DUMMYFUNCTION("""COMPUTED_VALUE"""),45327.7486659375)</f>
        <v>45327.74867</v>
      </c>
      <c r="B29" s="197" t="str">
        <f>IFERROR(__xludf.DUMMYFUNCTION("""COMPUTED_VALUE"""),"VPA - 600 - Hieu")</f>
        <v>VPA - 600 - Hieu</v>
      </c>
      <c r="C29" s="197" t="str">
        <f>IFERROR(__xludf.DUMMYFUNCTION("""COMPUTED_VALUE"""),"Thực hiện sai quy trình/ quy định")</f>
        <v>Thực hiện sai quy trình/ quy định</v>
      </c>
      <c r="D29" s="247">
        <f>IFERROR(__xludf.DUMMYFUNCTION("""COMPUTED_VALUE"""),-1.0)</f>
        <v>-1</v>
      </c>
      <c r="E29" s="197" t="str">
        <f>IFERROR(__xludf.DUMMYFUNCTION("""COMPUTED_VALUE"""),"Triển khai MIK không theo ISO công ty")</f>
        <v>Triển khai MIK không theo ISO công ty</v>
      </c>
    </row>
    <row r="30">
      <c r="A30" s="221">
        <f>IFERROR(__xludf.DUMMYFUNCTION("""COMPUTED_VALUE"""),45329.68844722222)</f>
        <v>45329.68845</v>
      </c>
      <c r="B30" s="197" t="str">
        <f>IFERROR(__xludf.DUMMYFUNCTION("""COMPUTED_VALUE"""),"VPA - 600 - Hieu")</f>
        <v>VPA - 600 - Hieu</v>
      </c>
      <c r="C30" s="197" t="str">
        <f>IFERROR(__xludf.DUMMYFUNCTION("""COMPUTED_VALUE"""),"Tình nguyện không nhận OT")</f>
        <v>Tình nguyện không nhận OT</v>
      </c>
      <c r="D30" s="247">
        <f>IFERROR(__xludf.DUMMYFUNCTION("""COMPUTED_VALUE"""),2.0)</f>
        <v>2</v>
      </c>
      <c r="E30" s="197" t="str">
        <f>IFERROR(__xludf.DUMMYFUNCTION("""COMPUTED_VALUE"""),"DA MIK Hậu Nghĩa")</f>
        <v>DA MIK Hậu Nghĩa</v>
      </c>
    </row>
    <row r="31">
      <c r="A31" s="221">
        <f>IFERROR(__xludf.DUMMYFUNCTION("""COMPUTED_VALUE"""),45329.68925131945)</f>
        <v>45329.68925</v>
      </c>
      <c r="B31" s="197" t="str">
        <f>IFERROR(__xludf.DUMMYFUNCTION("""COMPUTED_VALUE"""),"VPA - Team Leader - Mui")</f>
        <v>VPA - Team Leader - Mui</v>
      </c>
      <c r="C31" s="197" t="str">
        <f>IFERROR(__xludf.DUMMYFUNCTION("""COMPUTED_VALUE"""),"Không dọn dẹp vệ sinh chỗ làm việc")</f>
        <v>Không dọn dẹp vệ sinh chỗ làm việc</v>
      </c>
      <c r="D31" s="247">
        <f>IFERROR(__xludf.DUMMYFUNCTION("""COMPUTED_VALUE"""),-1.0)</f>
        <v>-1</v>
      </c>
      <c r="E31" s="197" t="str">
        <f>IFERROR(__xludf.DUMMYFUNCTION("""COMPUTED_VALUE"""),"Trước khi về nghỉ Tết ÂL")</f>
        <v>Trước khi về nghỉ Tết ÂL</v>
      </c>
    </row>
    <row r="32">
      <c r="A32" s="221">
        <f>IFERROR(__xludf.DUMMYFUNCTION("""COMPUTED_VALUE"""),45339.489845104166)</f>
        <v>45339.48985</v>
      </c>
      <c r="B32" s="197" t="str">
        <f>IFERROR(__xludf.DUMMYFUNCTION("""COMPUTED_VALUE"""),"VPA - 600 - Trang")</f>
        <v>VPA - 600 - Trang</v>
      </c>
      <c r="C32" s="197" t="str">
        <f>IFERROR(__xludf.DUMMYFUNCTION("""COMPUTED_VALUE"""),"Hoàn thành nhiệm vụ chung của phòng")</f>
        <v>Hoàn thành nhiệm vụ chung của phòng</v>
      </c>
      <c r="D32" s="247">
        <f>IFERROR(__xludf.DUMMYFUNCTION("""COMPUTED_VALUE"""),1.0)</f>
        <v>1</v>
      </c>
      <c r="E32" s="197" t="str">
        <f>IFERROR(__xludf.DUMMYFUNCTION("""COMPUTED_VALUE"""),"Tìm hiểu về ứng dụng AI")</f>
        <v>Tìm hiểu về ứng dụng AI</v>
      </c>
    </row>
    <row r="33">
      <c r="A33" s="221">
        <f>IFERROR(__xludf.DUMMYFUNCTION("""COMPUTED_VALUE"""),45339.49019657407)</f>
        <v>45339.4902</v>
      </c>
      <c r="B33" s="197" t="str">
        <f>IFERROR(__xludf.DUMMYFUNCTION("""COMPUTED_VALUE"""),"VPA - 600 - Duong")</f>
        <v>VPA - 600 - Duong</v>
      </c>
      <c r="C33" s="197" t="str">
        <f>IFERROR(__xludf.DUMMYFUNCTION("""COMPUTED_VALUE"""),"Hoàn thành nhiệm vụ chung của phòng")</f>
        <v>Hoàn thành nhiệm vụ chung của phòng</v>
      </c>
      <c r="D33" s="247">
        <f>IFERROR(__xludf.DUMMYFUNCTION("""COMPUTED_VALUE"""),1.0)</f>
        <v>1</v>
      </c>
      <c r="E33" s="197" t="str">
        <f>IFERROR(__xludf.DUMMYFUNCTION("""COMPUTED_VALUE"""),"Tìm hiểu về AI")</f>
        <v>Tìm hiểu về AI</v>
      </c>
    </row>
    <row r="34">
      <c r="A34" s="221">
        <f>IFERROR(__xludf.DUMMYFUNCTION("""COMPUTED_VALUE"""),45339.49053572917)</f>
        <v>45339.49054</v>
      </c>
      <c r="B34" s="197" t="str">
        <f>IFERROR(__xludf.DUMMYFUNCTION("""COMPUTED_VALUE"""),"VPA - 600 - Thoai")</f>
        <v>VPA - 600 - Thoai</v>
      </c>
      <c r="C34" s="197" t="str">
        <f>IFERROR(__xludf.DUMMYFUNCTION("""COMPUTED_VALUE"""),"Hoàn thành nhiệm vụ chung của phòng")</f>
        <v>Hoàn thành nhiệm vụ chung của phòng</v>
      </c>
      <c r="D34" s="247">
        <f>IFERROR(__xludf.DUMMYFUNCTION("""COMPUTED_VALUE"""),1.0)</f>
        <v>1</v>
      </c>
      <c r="E34" s="197" t="str">
        <f>IFERROR(__xludf.DUMMYFUNCTION("""COMPUTED_VALUE"""),"Tìm hiểu về AI")</f>
        <v>Tìm hiểu về AI</v>
      </c>
    </row>
    <row r="35">
      <c r="A35" s="221">
        <f>IFERROR(__xludf.DUMMYFUNCTION("""COMPUTED_VALUE"""),45339.490933333334)</f>
        <v>45339.49093</v>
      </c>
      <c r="B35" s="197" t="str">
        <f>IFERROR(__xludf.DUMMYFUNCTION("""COMPUTED_VALUE"""),"VPA - 600 - Hieu")</f>
        <v>VPA - 600 - Hieu</v>
      </c>
      <c r="C35" s="197" t="str">
        <f>IFERROR(__xludf.DUMMYFUNCTION("""COMPUTED_VALUE"""),"Hoàn thành nhiệm vụ chung của phòng")</f>
        <v>Hoàn thành nhiệm vụ chung của phòng</v>
      </c>
      <c r="D35" s="247">
        <f>IFERROR(__xludf.DUMMYFUNCTION("""COMPUTED_VALUE"""),1.0)</f>
        <v>1</v>
      </c>
      <c r="E35" s="197" t="str">
        <f>IFERROR(__xludf.DUMMYFUNCTION("""COMPUTED_VALUE"""),"Tìm hiểu về AI")</f>
        <v>Tìm hiểu về AI</v>
      </c>
    </row>
    <row r="36">
      <c r="A36" s="221">
        <f>IFERROR(__xludf.DUMMYFUNCTION("""COMPUTED_VALUE"""),45339.49118439815)</f>
        <v>45339.49118</v>
      </c>
      <c r="B36" s="197" t="str">
        <f>IFERROR(__xludf.DUMMYFUNCTION("""COMPUTED_VALUE"""),"VPA - Team Leader - Mui")</f>
        <v>VPA - Team Leader - Mui</v>
      </c>
      <c r="C36" s="197" t="str">
        <f>IFERROR(__xludf.DUMMYFUNCTION("""COMPUTED_VALUE"""),"Hoàn thành nhiệm vụ chung của phòng")</f>
        <v>Hoàn thành nhiệm vụ chung của phòng</v>
      </c>
      <c r="D36" s="247">
        <f>IFERROR(__xludf.DUMMYFUNCTION("""COMPUTED_VALUE"""),1.0)</f>
        <v>1</v>
      </c>
      <c r="E36" s="197" t="str">
        <f>IFERROR(__xludf.DUMMYFUNCTION("""COMPUTED_VALUE"""),"Tìm hiểu về AI")</f>
        <v>Tìm hiểu về AI</v>
      </c>
    </row>
    <row r="37">
      <c r="A37" s="221">
        <f>IFERROR(__xludf.DUMMYFUNCTION("""COMPUTED_VALUE"""),45339.49312501158)</f>
        <v>45339.49313</v>
      </c>
      <c r="B37" s="197" t="str">
        <f>IFERROR(__xludf.DUMMYFUNCTION("""COMPUTED_VALUE"""),"VPA - 600 - Giang")</f>
        <v>VPA - 600 - Giang</v>
      </c>
      <c r="C37" s="197" t="str">
        <f>IFERROR(__xludf.DUMMYFUNCTION("""COMPUTED_VALUE"""),"Hoàn thành nhiệm vụ chung của phòng")</f>
        <v>Hoàn thành nhiệm vụ chung của phòng</v>
      </c>
      <c r="D37" s="247">
        <f>IFERROR(__xludf.DUMMYFUNCTION("""COMPUTED_VALUE"""),1.0)</f>
        <v>1</v>
      </c>
      <c r="E37" s="197" t="str">
        <f>IFERROR(__xludf.DUMMYFUNCTION("""COMPUTED_VALUE"""),"Tìm hiểu về AI")</f>
        <v>Tìm hiểu về AI</v>
      </c>
    </row>
    <row r="38">
      <c r="A38" s="222">
        <f>IFERROR(__xludf.DUMMYFUNCTION("""COMPUTED_VALUE"""),45819.67295664352)</f>
        <v>45819.67296</v>
      </c>
      <c r="B38" s="248" t="str">
        <f>IFERROR(__xludf.DUMMYFUNCTION("""COMPUTED_VALUE"""),"VPA.Trang")</f>
        <v>VPA.Trang</v>
      </c>
      <c r="C38" s="248" t="str">
        <f>IFERROR(__xludf.DUMMYFUNCTION("""COMPUTED_VALUE"""),"FLC QB")</f>
        <v>FLC QB</v>
      </c>
      <c r="D38" s="249">
        <f>IFERROR(__xludf.DUMMYFUNCTION("""COMPUTED_VALUE"""),1.0)</f>
        <v>1</v>
      </c>
      <c r="E38" s="248"/>
      <c r="F38" s="223"/>
    </row>
    <row r="39">
      <c r="A39" s="222">
        <f>IFERROR(__xludf.DUMMYFUNCTION("""COMPUTED_VALUE"""),45819.673548425926)</f>
        <v>45819.67355</v>
      </c>
      <c r="B39" s="223" t="str">
        <f>IFERROR(__xludf.DUMMYFUNCTION("""COMPUTED_VALUE"""),"VPA.Duong")</f>
        <v>VPA.Duong</v>
      </c>
      <c r="C39" s="250" t="str">
        <f>IFERROR(__xludf.DUMMYFUNCTION("""COMPUTED_VALUE"""),"Dao Tan concept")</f>
        <v>Dao Tan concept</v>
      </c>
      <c r="D39" s="251">
        <f>IFERROR(__xludf.DUMMYFUNCTION("""COMPUTED_VALUE"""),1.0)</f>
        <v>1</v>
      </c>
      <c r="E39" s="214"/>
      <c r="F39" s="214"/>
    </row>
    <row r="40">
      <c r="A40" s="222">
        <f>IFERROR(__xludf.DUMMYFUNCTION("""COMPUTED_VALUE"""),45819.67533875)</f>
        <v>45819.67534</v>
      </c>
      <c r="B40" s="223" t="str">
        <f>IFERROR(__xludf.DUMMYFUNCTION("""COMPUTED_VALUE"""),"VPA.Hieu")</f>
        <v>VPA.Hieu</v>
      </c>
      <c r="C40" s="250" t="str">
        <f>IFERROR(__xludf.DUMMYFUNCTION("""COMPUTED_VALUE"""),"Dao Tan concept")</f>
        <v>Dao Tan concept</v>
      </c>
      <c r="D40" s="251">
        <f>IFERROR(__xludf.DUMMYFUNCTION("""COMPUTED_VALUE"""),1.0)</f>
        <v>1</v>
      </c>
      <c r="E40" s="214"/>
      <c r="F40" s="214"/>
    </row>
    <row r="41">
      <c r="A41" s="252">
        <f>IFERROR(__xludf.DUMMYFUNCTION("""COMPUTED_VALUE"""),45819.676334351854)</f>
        <v>45819.67633</v>
      </c>
      <c r="B41" s="83" t="str">
        <f>IFERROR(__xludf.DUMMYFUNCTION("""COMPUTED_VALUE"""),"VPA.Quan")</f>
        <v>VPA.Quan</v>
      </c>
      <c r="C41" s="214" t="str">
        <f>IFERROR(__xludf.DUMMYFUNCTION("""COMPUTED_VALUE"""),"Dao Tan concept")</f>
        <v>Dao Tan concept</v>
      </c>
      <c r="D41" s="253">
        <f>IFERROR(__xludf.DUMMYFUNCTION("""COMPUTED_VALUE"""),1.0)</f>
        <v>1</v>
      </c>
      <c r="E41" s="214"/>
      <c r="F41" s="214"/>
    </row>
    <row r="42">
      <c r="A42" s="252">
        <f>IFERROR(__xludf.DUMMYFUNCTION("""COMPUTED_VALUE"""),45819.67854432871)</f>
        <v>45819.67854</v>
      </c>
      <c r="B42" s="83" t="str">
        <f>IFERROR(__xludf.DUMMYFUNCTION("""COMPUTED_VALUE"""),"VPA.Trang")</f>
        <v>VPA.Trang</v>
      </c>
      <c r="C42" s="214" t="str">
        <f>IFERROR(__xludf.DUMMYFUNCTION("""COMPUTED_VALUE"""),"SOJO")</f>
        <v>SOJO</v>
      </c>
      <c r="D42" s="253">
        <f>IFERROR(__xludf.DUMMYFUNCTION("""COMPUTED_VALUE"""),2.0)</f>
        <v>2</v>
      </c>
      <c r="E42" s="214"/>
      <c r="F42" s="214"/>
    </row>
    <row r="43">
      <c r="A43" s="252">
        <f>IFERROR(__xludf.DUMMYFUNCTION("""COMPUTED_VALUE"""),45989.45598990741)</f>
        <v>45989.45599</v>
      </c>
      <c r="B43" s="83" t="str">
        <f>IFERROR(__xludf.DUMMYFUNCTION("""COMPUTED_VALUE"""),"VPA.Huyen")</f>
        <v>VPA.Huyen</v>
      </c>
      <c r="C43" s="214" t="str">
        <f>IFERROR(__xludf.DUMMYFUNCTION("""COMPUTED_VALUE"""),"Hoàn thành BVTC mẫu nhà Đào Tấn")</f>
        <v>Hoàn thành BVTC mẫu nhà Đào Tấn</v>
      </c>
      <c r="D43" s="253">
        <f>IFERROR(__xludf.DUMMYFUNCTION("""COMPUTED_VALUE"""),2.0)</f>
        <v>2</v>
      </c>
      <c r="E43" s="214"/>
      <c r="F43" s="214"/>
    </row>
    <row r="44">
      <c r="A44" s="252">
        <f>IFERROR(__xludf.DUMMYFUNCTION("""COMPUTED_VALUE"""),45989.45646596065)</f>
        <v>45989.45647</v>
      </c>
      <c r="B44" s="83" t="str">
        <f>IFERROR(__xludf.DUMMYFUNCTION("""COMPUTED_VALUE"""),"VPA.Hieu")</f>
        <v>VPA.Hieu</v>
      </c>
      <c r="C44" s="214" t="str">
        <f>IFERROR(__xludf.DUMMYFUNCTION("""COMPUTED_VALUE"""),"Hoàn thành HS cảnh quan của Hoàng xá và Lộc Tân")</f>
        <v>Hoàn thành HS cảnh quan của Hoàng xá và Lộc Tân</v>
      </c>
      <c r="D44" s="253">
        <f>IFERROR(__xludf.DUMMYFUNCTION("""COMPUTED_VALUE"""),2.0)</f>
        <v>2</v>
      </c>
      <c r="E44" s="214"/>
      <c r="F44" s="214"/>
    </row>
    <row r="45">
      <c r="A45" s="252">
        <f>IFERROR(__xludf.DUMMYFUNCTION("""COMPUTED_VALUE"""),45989.46117724537)</f>
        <v>45989.46118</v>
      </c>
      <c r="B45" s="83" t="str">
        <f>IFERROR(__xludf.DUMMYFUNCTION("""COMPUTED_VALUE"""),"VPA.Duong")</f>
        <v>VPA.Duong</v>
      </c>
      <c r="C45" s="214" t="str">
        <f>IFERROR(__xludf.DUMMYFUNCTION("""COMPUTED_VALUE"""),"Hoàn thành concept Hoàng xá")</f>
        <v>Hoàn thành concept Hoàng xá</v>
      </c>
      <c r="D45" s="253">
        <f>IFERROR(__xludf.DUMMYFUNCTION("""COMPUTED_VALUE"""),1.0)</f>
        <v>1</v>
      </c>
      <c r="E45" s="214"/>
      <c r="F45" s="214"/>
    </row>
    <row r="46">
      <c r="A46" s="252">
        <f>IFERROR(__xludf.DUMMYFUNCTION("""COMPUTED_VALUE"""),45989.46225130787)</f>
        <v>45989.46225</v>
      </c>
      <c r="B46" s="83" t="str">
        <f>IFERROR(__xludf.DUMMYFUNCTION("""COMPUTED_VALUE"""),"VPA.Quan")</f>
        <v>VPA.Quan</v>
      </c>
      <c r="C46" s="214" t="str">
        <f>IFERROR(__xludf.DUMMYFUNCTION("""COMPUTED_VALUE"""),"Hoàn thành concept Hoàng xá")</f>
        <v>Hoàn thành concept Hoàng xá</v>
      </c>
      <c r="D46" s="253">
        <f>IFERROR(__xludf.DUMMYFUNCTION("""COMPUTED_VALUE"""),1.0)</f>
        <v>1</v>
      </c>
      <c r="E46" s="214"/>
      <c r="F46" s="214"/>
    </row>
    <row r="47">
      <c r="A47" s="252">
        <f>IFERROR(__xludf.DUMMYFUNCTION("""COMPUTED_VALUE"""),46097.643120162036)</f>
        <v>46097.64312</v>
      </c>
      <c r="B47" s="83" t="str">
        <f>IFERROR(__xludf.DUMMYFUNCTION("""COMPUTED_VALUE"""),"VPA.Huyen")</f>
        <v>VPA.Huyen</v>
      </c>
      <c r="C47" s="214" t="str">
        <f>IFERROR(__xludf.DUMMYFUNCTION("""COMPUTED_VALUE"""),"Hoàn thành DA Đào Tấn")</f>
        <v>Hoàn thành DA Đào Tấn</v>
      </c>
      <c r="D47" s="253">
        <f>IFERROR(__xludf.DUMMYFUNCTION("""COMPUTED_VALUE"""),2.0)</f>
        <v>2</v>
      </c>
      <c r="E47" s="214"/>
      <c r="F47" s="214"/>
    </row>
    <row r="48">
      <c r="A48" s="252">
        <f>IFERROR(__xludf.DUMMYFUNCTION("""COMPUTED_VALUE"""),46097.674380625)</f>
        <v>46097.67438</v>
      </c>
      <c r="B48" s="83" t="str">
        <f>IFERROR(__xludf.DUMMYFUNCTION("""COMPUTED_VALUE"""),"VPA.Nam")</f>
        <v>VPA.Nam</v>
      </c>
      <c r="C48" s="214" t="str">
        <f>IFERROR(__xludf.DUMMYFUNCTION("""COMPUTED_VALUE"""),"Hoàn thành TKCS DA Trung Liên")</f>
        <v>Hoàn thành TKCS DA Trung Liên</v>
      </c>
      <c r="D48" s="253">
        <f>IFERROR(__xludf.DUMMYFUNCTION("""COMPUTED_VALUE"""),2.0)</f>
        <v>2</v>
      </c>
      <c r="E48" s="214"/>
      <c r="F48" s="214"/>
    </row>
    <row r="49">
      <c r="A49" s="252">
        <f>IFERROR(__xludf.DUMMYFUNCTION("""COMPUTED_VALUE"""),46192.0)</f>
        <v>46192</v>
      </c>
      <c r="B49" s="83" t="str">
        <f>IFERROR(__xludf.DUMMYFUNCTION("""COMPUTED_VALUE"""),"VPA.Duong")</f>
        <v>VPA.Duong</v>
      </c>
      <c r="C49" s="214" t="str">
        <f>IFERROR(__xludf.DUMMYFUNCTION("""COMPUTED_VALUE"""),"Hoàn thành bài dự thi thiết kế Cục Hải trong thời gian ngắn")</f>
        <v>Hoàn thành bài dự thi thiết kế Cục Hải trong thời gian ngắn</v>
      </c>
      <c r="D49" s="253">
        <f>IFERROR(__xludf.DUMMYFUNCTION("""COMPUTED_VALUE"""),1.0)</f>
        <v>1</v>
      </c>
      <c r="E49" s="214"/>
      <c r="F49" s="214"/>
    </row>
    <row r="50">
      <c r="A50" s="252">
        <f>IFERROR(__xludf.DUMMYFUNCTION("""COMPUTED_VALUE"""),46192.0)</f>
        <v>46192</v>
      </c>
      <c r="B50" s="83" t="str">
        <f>IFERROR(__xludf.DUMMYFUNCTION("""COMPUTED_VALUE"""),"VPA.Quan")</f>
        <v>VPA.Quan</v>
      </c>
      <c r="C50" s="214" t="str">
        <f>IFERROR(__xludf.DUMMYFUNCTION("""COMPUTED_VALUE"""),"Hoàn thành bài dự thi thiết kế Cục Hải trong thời gian ngắn")</f>
        <v>Hoàn thành bài dự thi thiết kế Cục Hải trong thời gian ngắn</v>
      </c>
      <c r="D50" s="253">
        <f>IFERROR(__xludf.DUMMYFUNCTION("""COMPUTED_VALUE"""),1.0)</f>
        <v>1</v>
      </c>
      <c r="E50" s="214"/>
      <c r="F50" s="214"/>
    </row>
    <row r="51">
      <c r="A51" s="252">
        <f>IFERROR(__xludf.DUMMYFUNCTION("""COMPUTED_VALUE"""),46192.0)</f>
        <v>46192</v>
      </c>
      <c r="B51" s="83" t="str">
        <f>IFERROR(__xludf.DUMMYFUNCTION("""COMPUTED_VALUE"""),"VPA.Thanh")</f>
        <v>VPA.Thanh</v>
      </c>
      <c r="C51" s="214" t="str">
        <f>IFERROR(__xludf.DUMMYFUNCTION("""COMPUTED_VALUE"""),"Hoàn thành bài dự thi thiết kế Cục Hải trong thời gian ngắn")</f>
        <v>Hoàn thành bài dự thi thiết kế Cục Hải trong thời gian ngắn</v>
      </c>
      <c r="D51" s="253">
        <f>IFERROR(__xludf.DUMMYFUNCTION("""COMPUTED_VALUE"""),1.0)</f>
        <v>1</v>
      </c>
      <c r="E51" s="214"/>
      <c r="F51" s="214"/>
    </row>
    <row r="52">
      <c r="A52" s="252">
        <f>IFERROR(__xludf.DUMMYFUNCTION("""COMPUTED_VALUE"""),46192.0)</f>
        <v>46192</v>
      </c>
      <c r="B52" s="83" t="str">
        <f>IFERROR(__xludf.DUMMYFUNCTION("""COMPUTED_VALUE"""),"VPA.Huyen")</f>
        <v>VPA.Huyen</v>
      </c>
      <c r="C52" s="214" t="str">
        <f>IFERROR(__xludf.DUMMYFUNCTION("""COMPUTED_VALUE"""),"Hoàn thành bài dự thi thiết kế Cục Hải trong thời gian ngắn")</f>
        <v>Hoàn thành bài dự thi thiết kế Cục Hải trong thời gian ngắn</v>
      </c>
      <c r="D52" s="253">
        <f>IFERROR(__xludf.DUMMYFUNCTION("""COMPUTED_VALUE"""),1.0)</f>
        <v>1</v>
      </c>
      <c r="E52" s="214"/>
      <c r="F52" s="214"/>
    </row>
    <row r="53">
      <c r="A53" s="252">
        <f>IFERROR(__xludf.DUMMYFUNCTION("""COMPUTED_VALUE"""),46192.670530358795)</f>
        <v>46192.67053</v>
      </c>
      <c r="B53" s="83" t="str">
        <f>IFERROR(__xludf.DUMMYFUNCTION("""COMPUTED_VALUE"""),"VPA.Duong")</f>
        <v>VPA.Duong</v>
      </c>
      <c r="C53" s="214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3" s="253">
        <f>IFERROR(__xludf.DUMMYFUNCTION("""COMPUTED_VALUE"""),-2.0)</f>
        <v>-2</v>
      </c>
      <c r="E53" s="214"/>
      <c r="F53" s="214"/>
    </row>
    <row r="54">
      <c r="A54" s="252">
        <f>IFERROR(__xludf.DUMMYFUNCTION("""COMPUTED_VALUE"""),46192.67159716436)</f>
        <v>46192.6716</v>
      </c>
      <c r="B54" s="83" t="str">
        <f>IFERROR(__xludf.DUMMYFUNCTION("""COMPUTED_VALUE"""),"VPA.Quan")</f>
        <v>VPA.Quan</v>
      </c>
      <c r="C54" s="214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4" s="253">
        <f>IFERROR(__xludf.DUMMYFUNCTION("""COMPUTED_VALUE"""),-1.0)</f>
        <v>-1</v>
      </c>
      <c r="E54" s="214"/>
      <c r="F54" s="214"/>
    </row>
    <row r="55">
      <c r="A55" s="252">
        <f>IFERROR(__xludf.DUMMYFUNCTION("""COMPUTED_VALUE"""),46192.67159716436)</f>
        <v>46192.6716</v>
      </c>
      <c r="B55" s="83" t="str">
        <f>IFERROR(__xludf.DUMMYFUNCTION("""COMPUTED_VALUE"""),"VPA.Thanh")</f>
        <v>VPA.Thanh</v>
      </c>
      <c r="C55" s="214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D55" s="253">
        <f>IFERROR(__xludf.DUMMYFUNCTION("""COMPUTED_VALUE"""),-1.0)</f>
        <v>-1</v>
      </c>
      <c r="E55" s="214"/>
      <c r="F55" s="214"/>
    </row>
    <row r="56">
      <c r="A56" s="83"/>
      <c r="B56" s="83"/>
      <c r="C56" s="214"/>
      <c r="D56" s="253"/>
      <c r="E56" s="214"/>
      <c r="F56" s="214"/>
    </row>
    <row r="57">
      <c r="A57" s="83"/>
      <c r="B57" s="83"/>
      <c r="C57" s="214"/>
      <c r="D57" s="253"/>
      <c r="E57" s="214"/>
      <c r="F57" s="214"/>
    </row>
    <row r="58">
      <c r="A58" s="83"/>
      <c r="B58" s="83"/>
      <c r="C58" s="214"/>
      <c r="D58" s="253"/>
      <c r="E58" s="214"/>
      <c r="F58" s="214"/>
    </row>
    <row r="59">
      <c r="A59" s="83"/>
      <c r="B59" s="83"/>
      <c r="C59" s="214"/>
      <c r="D59" s="253"/>
      <c r="E59" s="214"/>
      <c r="F59" s="214"/>
    </row>
    <row r="60">
      <c r="A60" s="83"/>
      <c r="B60" s="83"/>
      <c r="C60" s="214"/>
      <c r="D60" s="253"/>
      <c r="E60" s="214"/>
      <c r="F60" s="214"/>
    </row>
    <row r="61">
      <c r="A61" s="83"/>
      <c r="B61" s="83"/>
      <c r="C61" s="214"/>
      <c r="D61" s="253"/>
      <c r="E61" s="214"/>
      <c r="F61" s="214"/>
    </row>
    <row r="62">
      <c r="A62" s="83"/>
      <c r="B62" s="83"/>
      <c r="C62" s="214"/>
      <c r="D62" s="253"/>
      <c r="E62" s="214"/>
      <c r="F62" s="214"/>
    </row>
    <row r="63">
      <c r="A63" s="83"/>
      <c r="B63" s="83"/>
      <c r="C63" s="214"/>
      <c r="D63" s="253"/>
      <c r="E63" s="214"/>
      <c r="F63" s="214"/>
    </row>
    <row r="64">
      <c r="A64" s="83"/>
      <c r="B64" s="83"/>
      <c r="C64" s="214"/>
      <c r="D64" s="253"/>
      <c r="E64" s="214"/>
      <c r="F64" s="214"/>
    </row>
    <row r="65">
      <c r="A65" s="83"/>
      <c r="B65" s="83"/>
      <c r="C65" s="214"/>
      <c r="D65" s="253"/>
      <c r="E65" s="214"/>
      <c r="F65" s="214"/>
    </row>
    <row r="66">
      <c r="A66" s="83"/>
      <c r="B66" s="83"/>
      <c r="C66" s="214"/>
      <c r="D66" s="253"/>
      <c r="E66" s="214"/>
      <c r="F66" s="214"/>
    </row>
    <row r="67">
      <c r="A67" s="83"/>
      <c r="B67" s="83"/>
      <c r="C67" s="214"/>
      <c r="D67" s="253"/>
      <c r="E67" s="214"/>
      <c r="F67" s="214"/>
    </row>
    <row r="68">
      <c r="A68" s="83"/>
      <c r="B68" s="83"/>
      <c r="C68" s="214"/>
      <c r="D68" s="253"/>
      <c r="E68" s="214"/>
      <c r="F68" s="214"/>
    </row>
    <row r="69">
      <c r="A69" s="83"/>
      <c r="B69" s="83"/>
      <c r="C69" s="214"/>
      <c r="D69" s="253"/>
      <c r="E69" s="214"/>
      <c r="F69" s="214"/>
    </row>
    <row r="70">
      <c r="A70" s="83"/>
      <c r="B70" s="83"/>
      <c r="C70" s="214"/>
      <c r="D70" s="253"/>
      <c r="E70" s="214"/>
      <c r="F70" s="214"/>
    </row>
    <row r="71">
      <c r="A71" s="83"/>
      <c r="B71" s="83"/>
      <c r="C71" s="214"/>
      <c r="D71" s="253"/>
      <c r="E71" s="214"/>
      <c r="F71" s="214"/>
    </row>
    <row r="72">
      <c r="A72" s="83"/>
      <c r="B72" s="83"/>
      <c r="C72" s="214"/>
      <c r="D72" s="253"/>
      <c r="E72" s="214"/>
      <c r="F72" s="214"/>
    </row>
    <row r="73">
      <c r="A73" s="83"/>
      <c r="B73" s="83"/>
      <c r="C73" s="214"/>
      <c r="D73" s="253"/>
      <c r="E73" s="214"/>
      <c r="F73" s="214"/>
    </row>
    <row r="74">
      <c r="A74" s="83"/>
      <c r="B74" s="83"/>
      <c r="C74" s="214"/>
      <c r="D74" s="253"/>
      <c r="E74" s="214"/>
      <c r="F74" s="214"/>
    </row>
    <row r="75">
      <c r="A75" s="83"/>
      <c r="B75" s="83"/>
      <c r="C75" s="214"/>
      <c r="D75" s="253"/>
      <c r="E75" s="214"/>
      <c r="F75" s="214"/>
    </row>
    <row r="76">
      <c r="A76" s="83"/>
      <c r="B76" s="83"/>
      <c r="C76" s="214"/>
      <c r="D76" s="253"/>
      <c r="E76" s="214"/>
      <c r="F76" s="214"/>
    </row>
    <row r="77">
      <c r="A77" s="83"/>
      <c r="B77" s="83"/>
      <c r="C77" s="214"/>
      <c r="D77" s="253"/>
      <c r="E77" s="214"/>
      <c r="F77" s="214"/>
    </row>
    <row r="78">
      <c r="A78" s="83"/>
      <c r="B78" s="83"/>
      <c r="C78" s="214"/>
      <c r="D78" s="253"/>
      <c r="E78" s="214"/>
      <c r="F78" s="214"/>
    </row>
    <row r="79">
      <c r="A79" s="83"/>
      <c r="B79" s="83"/>
      <c r="C79" s="214"/>
      <c r="D79" s="253"/>
      <c r="E79" s="214"/>
      <c r="F79" s="214"/>
    </row>
    <row r="80">
      <c r="A80" s="83"/>
      <c r="B80" s="83"/>
      <c r="C80" s="214"/>
      <c r="D80" s="253"/>
      <c r="E80" s="214"/>
      <c r="F80" s="214"/>
    </row>
    <row r="81">
      <c r="A81" s="83"/>
      <c r="B81" s="83"/>
      <c r="C81" s="214"/>
      <c r="D81" s="253"/>
      <c r="E81" s="214"/>
      <c r="F81" s="214"/>
    </row>
    <row r="82">
      <c r="A82" s="83"/>
      <c r="B82" s="83"/>
      <c r="C82" s="214"/>
      <c r="D82" s="253"/>
      <c r="E82" s="214"/>
      <c r="F82" s="214"/>
    </row>
    <row r="83">
      <c r="A83" s="83"/>
      <c r="B83" s="83"/>
      <c r="C83" s="214"/>
      <c r="D83" s="253"/>
      <c r="E83" s="214"/>
      <c r="F83" s="214"/>
    </row>
    <row r="84">
      <c r="A84" s="83"/>
      <c r="B84" s="83"/>
      <c r="C84" s="214"/>
      <c r="D84" s="253"/>
      <c r="E84" s="214"/>
      <c r="F84" s="214"/>
    </row>
    <row r="85">
      <c r="A85" s="83"/>
      <c r="B85" s="83"/>
      <c r="C85" s="214"/>
      <c r="D85" s="253"/>
      <c r="E85" s="214"/>
      <c r="F85" s="214"/>
    </row>
    <row r="86">
      <c r="A86" s="83"/>
      <c r="B86" s="83"/>
      <c r="C86" s="214"/>
      <c r="D86" s="253"/>
      <c r="E86" s="214"/>
      <c r="F86" s="214"/>
    </row>
    <row r="87">
      <c r="A87" s="83"/>
      <c r="B87" s="83"/>
      <c r="C87" s="214"/>
      <c r="D87" s="253"/>
      <c r="E87" s="214"/>
      <c r="F87" s="214"/>
    </row>
    <row r="88">
      <c r="A88" s="83"/>
      <c r="B88" s="83"/>
      <c r="C88" s="214"/>
      <c r="D88" s="253"/>
      <c r="E88" s="214"/>
      <c r="F88" s="214"/>
    </row>
    <row r="89">
      <c r="A89" s="83"/>
      <c r="B89" s="83"/>
      <c r="C89" s="214"/>
      <c r="D89" s="253"/>
      <c r="E89" s="214"/>
      <c r="F89" s="214"/>
    </row>
    <row r="90">
      <c r="A90" s="83"/>
      <c r="B90" s="83"/>
      <c r="C90" s="214"/>
      <c r="D90" s="253"/>
      <c r="E90" s="214"/>
      <c r="F90" s="214"/>
    </row>
    <row r="91">
      <c r="A91" s="83"/>
      <c r="B91" s="83"/>
      <c r="C91" s="214"/>
      <c r="D91" s="253"/>
      <c r="E91" s="214"/>
      <c r="F91" s="214"/>
    </row>
    <row r="92">
      <c r="A92" s="83"/>
      <c r="B92" s="83"/>
      <c r="C92" s="214"/>
      <c r="D92" s="253"/>
      <c r="E92" s="214"/>
      <c r="F92" s="214"/>
    </row>
    <row r="93">
      <c r="A93" s="83"/>
      <c r="B93" s="83"/>
      <c r="C93" s="214"/>
      <c r="D93" s="253"/>
      <c r="E93" s="214"/>
      <c r="F93" s="214"/>
    </row>
    <row r="94">
      <c r="A94" s="83"/>
      <c r="B94" s="83"/>
      <c r="C94" s="214"/>
      <c r="D94" s="253"/>
      <c r="E94" s="214"/>
      <c r="F94" s="214"/>
    </row>
    <row r="95">
      <c r="A95" s="83"/>
      <c r="B95" s="83"/>
      <c r="C95" s="214"/>
      <c r="D95" s="253"/>
      <c r="E95" s="214"/>
      <c r="F95" s="214"/>
    </row>
    <row r="96">
      <c r="A96" s="83"/>
      <c r="B96" s="83"/>
      <c r="C96" s="214"/>
      <c r="D96" s="253"/>
      <c r="E96" s="214"/>
      <c r="F96" s="214"/>
    </row>
    <row r="97">
      <c r="A97" s="83"/>
      <c r="B97" s="83"/>
      <c r="C97" s="214"/>
      <c r="D97" s="253"/>
      <c r="E97" s="214"/>
      <c r="F97" s="214"/>
    </row>
    <row r="98">
      <c r="A98" s="83"/>
      <c r="B98" s="83"/>
      <c r="C98" s="214"/>
      <c r="D98" s="253"/>
      <c r="E98" s="214"/>
      <c r="F98" s="214"/>
    </row>
    <row r="99">
      <c r="A99" s="83"/>
      <c r="B99" s="83"/>
      <c r="C99" s="214"/>
      <c r="D99" s="253"/>
      <c r="E99" s="214"/>
      <c r="F99" s="214"/>
    </row>
    <row r="100">
      <c r="A100" s="83"/>
      <c r="B100" s="83"/>
      <c r="C100" s="214"/>
      <c r="D100" s="253"/>
      <c r="E100" s="214"/>
      <c r="F100" s="214"/>
    </row>
    <row r="101">
      <c r="A101" s="83"/>
      <c r="B101" s="83"/>
      <c r="C101" s="214"/>
      <c r="D101" s="253"/>
      <c r="E101" s="214"/>
      <c r="F101" s="214"/>
    </row>
    <row r="102">
      <c r="A102" s="83"/>
      <c r="B102" s="83"/>
      <c r="C102" s="214"/>
      <c r="D102" s="253"/>
      <c r="E102" s="214"/>
      <c r="F102" s="214"/>
    </row>
    <row r="103">
      <c r="A103" s="83"/>
      <c r="B103" s="83"/>
      <c r="C103" s="214"/>
      <c r="D103" s="253"/>
      <c r="E103" s="214"/>
      <c r="F103" s="214"/>
    </row>
    <row r="104">
      <c r="A104" s="83"/>
      <c r="B104" s="83"/>
      <c r="C104" s="214"/>
      <c r="D104" s="253"/>
      <c r="E104" s="214"/>
      <c r="F104" s="214"/>
    </row>
    <row r="105">
      <c r="A105" s="83"/>
      <c r="B105" s="83"/>
      <c r="C105" s="214"/>
      <c r="D105" s="253"/>
      <c r="E105" s="214"/>
      <c r="F105" s="214"/>
    </row>
    <row r="106">
      <c r="A106" s="83"/>
      <c r="B106" s="83"/>
      <c r="C106" s="214"/>
      <c r="D106" s="253"/>
      <c r="E106" s="214"/>
      <c r="F106" s="214"/>
    </row>
    <row r="107">
      <c r="A107" s="83"/>
      <c r="B107" s="83"/>
      <c r="C107" s="214"/>
      <c r="D107" s="253"/>
      <c r="E107" s="214"/>
      <c r="F107" s="214"/>
    </row>
    <row r="108">
      <c r="A108" s="83"/>
      <c r="B108" s="83"/>
      <c r="C108" s="214"/>
      <c r="D108" s="253"/>
      <c r="E108" s="214"/>
      <c r="F108" s="214"/>
    </row>
    <row r="109">
      <c r="A109" s="83"/>
      <c r="B109" s="83"/>
      <c r="C109" s="214"/>
      <c r="D109" s="253"/>
      <c r="E109" s="214"/>
      <c r="F109" s="214"/>
    </row>
    <row r="110">
      <c r="A110" s="83"/>
      <c r="B110" s="83"/>
      <c r="C110" s="214"/>
      <c r="D110" s="253"/>
      <c r="E110" s="214"/>
      <c r="F110" s="214"/>
    </row>
    <row r="111">
      <c r="A111" s="83"/>
      <c r="B111" s="83"/>
      <c r="C111" s="214"/>
      <c r="D111" s="253"/>
      <c r="E111" s="214"/>
      <c r="F111" s="214"/>
    </row>
    <row r="112">
      <c r="A112" s="83"/>
      <c r="B112" s="83"/>
      <c r="C112" s="214"/>
      <c r="D112" s="253"/>
      <c r="E112" s="214"/>
      <c r="F112" s="214"/>
    </row>
    <row r="113">
      <c r="A113" s="83"/>
      <c r="B113" s="83"/>
      <c r="C113" s="214"/>
      <c r="D113" s="253"/>
      <c r="E113" s="214"/>
      <c r="F113" s="214"/>
    </row>
    <row r="114">
      <c r="A114" s="83"/>
      <c r="B114" s="83"/>
      <c r="C114" s="214"/>
      <c r="D114" s="253"/>
      <c r="E114" s="214"/>
      <c r="F114" s="214"/>
    </row>
    <row r="115">
      <c r="A115" s="83"/>
      <c r="B115" s="83"/>
      <c r="C115" s="214"/>
      <c r="D115" s="253"/>
      <c r="E115" s="214"/>
      <c r="F115" s="214"/>
    </row>
    <row r="116">
      <c r="A116" s="83"/>
      <c r="B116" s="83"/>
      <c r="C116" s="214"/>
      <c r="D116" s="253"/>
      <c r="E116" s="214"/>
      <c r="F116" s="214"/>
    </row>
    <row r="117">
      <c r="A117" s="83"/>
      <c r="B117" s="83"/>
      <c r="C117" s="214"/>
      <c r="D117" s="253"/>
      <c r="E117" s="214"/>
      <c r="F117" s="214"/>
    </row>
    <row r="118">
      <c r="A118" s="83"/>
      <c r="B118" s="83"/>
      <c r="C118" s="214"/>
      <c r="D118" s="253"/>
      <c r="E118" s="214"/>
      <c r="F118" s="214"/>
    </row>
    <row r="119">
      <c r="A119" s="83"/>
      <c r="B119" s="83"/>
      <c r="C119" s="214"/>
      <c r="D119" s="253"/>
      <c r="E119" s="214"/>
      <c r="F119" s="214"/>
    </row>
    <row r="120">
      <c r="A120" s="83"/>
      <c r="B120" s="83"/>
      <c r="C120" s="214"/>
      <c r="D120" s="253"/>
      <c r="E120" s="214"/>
      <c r="F120" s="214"/>
    </row>
    <row r="121">
      <c r="A121" s="83"/>
      <c r="B121" s="83"/>
      <c r="C121" s="214"/>
      <c r="D121" s="253"/>
      <c r="E121" s="214"/>
      <c r="F121" s="214"/>
    </row>
    <row r="122">
      <c r="A122" s="83"/>
      <c r="B122" s="83"/>
      <c r="C122" s="214"/>
      <c r="D122" s="253"/>
      <c r="E122" s="214"/>
      <c r="F122" s="214"/>
    </row>
    <row r="123">
      <c r="A123" s="83"/>
      <c r="B123" s="83"/>
      <c r="C123" s="214"/>
      <c r="D123" s="253"/>
      <c r="E123" s="214"/>
      <c r="F123" s="214"/>
    </row>
    <row r="124">
      <c r="A124" s="83"/>
      <c r="B124" s="83"/>
      <c r="C124" s="214"/>
      <c r="D124" s="253"/>
      <c r="E124" s="214"/>
      <c r="F124" s="214"/>
    </row>
    <row r="125">
      <c r="A125" s="83"/>
      <c r="B125" s="83"/>
      <c r="C125" s="214"/>
      <c r="D125" s="253"/>
      <c r="E125" s="214"/>
      <c r="F125" s="214"/>
    </row>
    <row r="126">
      <c r="A126" s="83"/>
      <c r="B126" s="83"/>
      <c r="C126" s="214"/>
      <c r="D126" s="253"/>
      <c r="E126" s="214"/>
      <c r="F126" s="214"/>
    </row>
    <row r="127">
      <c r="A127" s="83"/>
      <c r="B127" s="83"/>
      <c r="C127" s="214"/>
      <c r="D127" s="253"/>
      <c r="E127" s="214"/>
      <c r="F127" s="214"/>
    </row>
    <row r="128">
      <c r="A128" s="83"/>
      <c r="B128" s="83"/>
      <c r="C128" s="214"/>
      <c r="D128" s="253"/>
      <c r="E128" s="214"/>
      <c r="F128" s="214"/>
    </row>
    <row r="129">
      <c r="A129" s="83"/>
      <c r="B129" s="83"/>
      <c r="C129" s="214"/>
      <c r="D129" s="253"/>
      <c r="E129" s="214"/>
      <c r="F129" s="214"/>
    </row>
    <row r="130">
      <c r="A130" s="83"/>
      <c r="B130" s="83"/>
      <c r="C130" s="214"/>
      <c r="D130" s="253"/>
      <c r="E130" s="214"/>
      <c r="F130" s="214"/>
    </row>
    <row r="131">
      <c r="A131" s="83"/>
      <c r="B131" s="83"/>
      <c r="C131" s="214"/>
      <c r="D131" s="253"/>
      <c r="E131" s="214"/>
      <c r="F131" s="214"/>
    </row>
    <row r="132">
      <c r="A132" s="83"/>
      <c r="B132" s="83"/>
      <c r="C132" s="214"/>
      <c r="D132" s="253"/>
      <c r="E132" s="214"/>
      <c r="F132" s="214"/>
    </row>
  </sheetData>
  <mergeCells count="1">
    <mergeCell ref="A1:E1"/>
  </mergeCells>
  <conditionalFormatting sqref="A24:D132">
    <cfRule type="notContainsBlanks" dxfId="0" priority="1">
      <formula>LEN(TRIM(A24))&gt;0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88"/>
    <col customWidth="1" min="2" max="2" width="24.25"/>
    <col customWidth="1" min="3" max="3" width="53.88"/>
    <col customWidth="1" min="4" max="4" width="29.0"/>
    <col customWidth="1" min="5" max="6" width="18.88"/>
  </cols>
  <sheetData>
    <row r="1">
      <c r="A1" s="217" t="str">
        <f>IFERROR(__xludf.DUMMYFUNCTION("importrange(""https://docs.google.com/spreadsheets/d/1lLUezGr04gttZmCjozdXOUr60iM6OX1ezrYWKwC1J1g/edit?gid=1274817499#gid=1274817499"",""ADC.Director!A:E"")"),"Ms Mui Form Result - 양식 결과")</f>
        <v>Ms Mui Form Result - 양식 결과</v>
      </c>
      <c r="F1" s="254"/>
    </row>
    <row r="2">
      <c r="A2" s="255" t="str">
        <f>IFERROR(__xludf.DUMMYFUNCTION("""COMPUTED_VALUE"""),"Timestamp")</f>
        <v>Timestamp</v>
      </c>
      <c r="B2" s="256" t="str">
        <f>IFERROR(__xludf.DUMMYFUNCTION("""COMPUTED_VALUE"""),"1. Penalty &amp; Bonus Staff")</f>
        <v>1. Penalty &amp; Bonus Staff</v>
      </c>
      <c r="C2" s="257" t="str">
        <f>IFERROR(__xludf.DUMMYFUNCTION("""COMPUTED_VALUE"""),"2. Reason - 이유:")</f>
        <v>2. Reason - 이유:</v>
      </c>
      <c r="D2" s="257" t="str">
        <f>IFERROR(__xludf.DUMMYFUNCTION("""COMPUTED_VALUE"""),"3. Penalty Point (-) / Bonus Point (+) ")</f>
        <v>3. Penalty Point (-) / Bonus Point (+) </v>
      </c>
      <c r="E2" s="257" t="str">
        <f>IFERROR(__xludf.DUMMYFUNCTION("""COMPUTED_VALUE"""),"4. Note - 노트")</f>
        <v>4. Note - 노트</v>
      </c>
      <c r="F2" s="257"/>
    </row>
    <row r="3" hidden="1">
      <c r="A3" s="221">
        <f>IFERROR(__xludf.DUMMYFUNCTION("""COMPUTED_VALUE"""),44977.659828275464)</f>
        <v>44977.65983</v>
      </c>
      <c r="B3" s="197" t="str">
        <f>IFERROR(__xludf.DUMMYFUNCTION("""COMPUTED_VALUE"""),"VPA - 600 - Kieu Anh")</f>
        <v>VPA - 600 - Kieu Anh</v>
      </c>
      <c r="C3" s="197" t="str">
        <f>IFERROR(__xludf.DUMMYFUNCTION("""COMPUTED_VALUE"""),"Cố gắng hoàn thành đúng tiến độ Trạm XLNT dù chưa thật hoàn thiện")</f>
        <v>Cố gắng hoàn thành đúng tiến độ Trạm XLNT dù chưa thật hoàn thiện</v>
      </c>
      <c r="D3" s="197">
        <f>IFERROR(__xludf.DUMMYFUNCTION("""COMPUTED_VALUE"""),1.0)</f>
        <v>1</v>
      </c>
      <c r="E3" s="197"/>
    </row>
    <row r="4" hidden="1">
      <c r="A4" s="221">
        <f>IFERROR(__xludf.DUMMYFUNCTION("""COMPUTED_VALUE"""),44977.660527500004)</f>
        <v>44977.66053</v>
      </c>
      <c r="B4" s="197" t="str">
        <f>IFERROR(__xludf.DUMMYFUNCTION("""COMPUTED_VALUE"""),"VPA - 600 - Trang")</f>
        <v>VPA - 600 - Trang</v>
      </c>
      <c r="C4" s="197" t="str">
        <f>IFERROR(__xludf.DUMMYFUNCTION("""COMPUTED_VALUE"""),"Nghiên cứu chuyên sâu autocag để trainning tốt")</f>
        <v>Nghiên cứu chuyên sâu autocag để trainning tốt</v>
      </c>
      <c r="D4" s="197">
        <f>IFERROR(__xludf.DUMMYFUNCTION("""COMPUTED_VALUE"""),1.0)</f>
        <v>1</v>
      </c>
      <c r="E4" s="197"/>
    </row>
    <row r="5" hidden="1">
      <c r="A5" s="221">
        <f>IFERROR(__xludf.DUMMYFUNCTION("""COMPUTED_VALUE"""),44977.66240180556)</f>
        <v>44977.6624</v>
      </c>
      <c r="B5" s="197" t="str">
        <f>IFERROR(__xludf.DUMMYFUNCTION("""COMPUTED_VALUE"""),"VPA - 600 - Thoai")</f>
        <v>VPA - 600 - Thoai</v>
      </c>
      <c r="C5" s="197" t="str">
        <f>IFERROR(__xludf.DUMMYFUNCTION("""COMPUTED_VALUE"""),"Làm việc chăm chỉ")</f>
        <v>Làm việc chăm chỉ</v>
      </c>
      <c r="D5" s="197">
        <f>IFERROR(__xludf.DUMMYFUNCTION("""COMPUTED_VALUE"""),1.0)</f>
        <v>1</v>
      </c>
      <c r="E5" s="197"/>
    </row>
    <row r="6" hidden="1">
      <c r="A6" s="221">
        <f>IFERROR(__xludf.DUMMYFUNCTION("""COMPUTED_VALUE"""),44977.66262133102)</f>
        <v>44977.66262</v>
      </c>
      <c r="B6" s="197" t="str">
        <f>IFERROR(__xludf.DUMMYFUNCTION("""COMPUTED_VALUE"""),"VPA - 600 - Phuong")</f>
        <v>VPA - 600 - Phuong</v>
      </c>
      <c r="C6" s="197" t="str">
        <f>IFERROR(__xludf.DUMMYFUNCTION("""COMPUTED_VALUE"""),"Làm việc chủ động, chăm chỉ ")</f>
        <v>Làm việc chủ động, chăm chỉ </v>
      </c>
      <c r="D6" s="197">
        <f>IFERROR(__xludf.DUMMYFUNCTION("""COMPUTED_VALUE"""),1.0)</f>
        <v>1</v>
      </c>
      <c r="E6" s="197"/>
    </row>
    <row r="7" hidden="1">
      <c r="A7" s="221">
        <f>IFERROR(__xludf.DUMMYFUNCTION("""COMPUTED_VALUE"""),44977.66309997685)</f>
        <v>44977.6631</v>
      </c>
      <c r="B7" s="197" t="str">
        <f>IFERROR(__xludf.DUMMYFUNCTION("""COMPUTED_VALUE"""),"VPA - 600 - Nhung")</f>
        <v>VPA - 600 - Nhung</v>
      </c>
      <c r="C7" s="197" t="str">
        <f>IFERROR(__xludf.DUMMYFUNCTION("""COMPUTED_VALUE"""),"Nghiên cứu và phổ biến sheetset rất dễ hiểu")</f>
        <v>Nghiên cứu và phổ biến sheetset rất dễ hiểu</v>
      </c>
      <c r="D7" s="197">
        <f>IFERROR(__xludf.DUMMYFUNCTION("""COMPUTED_VALUE"""),1.0)</f>
        <v>1</v>
      </c>
      <c r="E7" s="197"/>
    </row>
    <row r="8" hidden="1">
      <c r="A8" s="221">
        <f>IFERROR(__xludf.DUMMYFUNCTION("""COMPUTED_VALUE"""),44977.66623314815)</f>
        <v>44977.66623</v>
      </c>
      <c r="B8" s="197" t="str">
        <f>IFERROR(__xludf.DUMMYFUNCTION("""COMPUTED_VALUE"""),"VPA - 600 - Giang")</f>
        <v>VPA - 600 - Giang</v>
      </c>
      <c r="C8" s="197" t="str">
        <f>IFERROR(__xludf.DUMMYFUNCTION("""COMPUTED_VALUE"""),"Nhiệt tình làm việc và gắn kết mọi người")</f>
        <v>Nhiệt tình làm việc và gắn kết mọi người</v>
      </c>
      <c r="D8" s="197">
        <f>IFERROR(__xludf.DUMMYFUNCTION("""COMPUTED_VALUE"""),1.0)</f>
        <v>1</v>
      </c>
      <c r="E8" s="197"/>
    </row>
    <row r="9" hidden="1">
      <c r="A9" s="221">
        <f>IFERROR(__xludf.DUMMYFUNCTION("""COMPUTED_VALUE"""),44979.37125123842)</f>
        <v>44979.37125</v>
      </c>
      <c r="B9" s="197" t="str">
        <f>IFERROR(__xludf.DUMMYFUNCTION("""COMPUTED_VALUE"""),"VPA - 600 - Phuong")</f>
        <v>VPA - 600 - Phuong</v>
      </c>
      <c r="C9" s="197" t="str">
        <f>IFERROR(__xludf.DUMMYFUNCTION("""COMPUTED_VALUE"""),"Không nộp bài test traning đúng hạn")</f>
        <v>Không nộp bài test traning đúng hạn</v>
      </c>
      <c r="D9" s="197">
        <f>IFERROR(__xludf.DUMMYFUNCTION("""COMPUTED_VALUE"""),-1.0)</f>
        <v>-1</v>
      </c>
      <c r="E9" s="197"/>
    </row>
    <row r="10" hidden="1">
      <c r="A10" s="221">
        <f>IFERROR(__xludf.DUMMYFUNCTION("""COMPUTED_VALUE"""),44979.37138699074)</f>
        <v>44979.37139</v>
      </c>
      <c r="B10" s="197" t="str">
        <f>IFERROR(__xludf.DUMMYFUNCTION("""COMPUTED_VALUE"""),"VPA - 600 - Thoai")</f>
        <v>VPA - 600 - Thoai</v>
      </c>
      <c r="C10" s="197" t="str">
        <f>IFERROR(__xludf.DUMMYFUNCTION("""COMPUTED_VALUE"""),"Không nộp bài test traning đúng hạn")</f>
        <v>Không nộp bài test traning đúng hạn</v>
      </c>
      <c r="D10" s="197">
        <f>IFERROR(__xludf.DUMMYFUNCTION("""COMPUTED_VALUE"""),-1.0)</f>
        <v>-1</v>
      </c>
      <c r="E10" s="197"/>
    </row>
    <row r="11" hidden="1">
      <c r="A11" s="221">
        <f>IFERROR(__xludf.DUMMYFUNCTION("""COMPUTED_VALUE"""),44979.371607256944)</f>
        <v>44979.37161</v>
      </c>
      <c r="B11" s="197" t="str">
        <f>IFERROR(__xludf.DUMMYFUNCTION("""COMPUTED_VALUE"""),"VPA - 600 - Kieu Anh")</f>
        <v>VPA - 600 - Kieu Anh</v>
      </c>
      <c r="C11" s="197" t="str">
        <f>IFERROR(__xludf.DUMMYFUNCTION("""COMPUTED_VALUE"""),"Không nộp bài test traning đúng hạn")</f>
        <v>Không nộp bài test traning đúng hạn</v>
      </c>
      <c r="D11" s="197">
        <f>IFERROR(__xludf.DUMMYFUNCTION("""COMPUTED_VALUE"""),-1.0)</f>
        <v>-1</v>
      </c>
      <c r="E11" s="197"/>
    </row>
    <row r="12" hidden="1">
      <c r="A12" s="221">
        <f>IFERROR(__xludf.DUMMYFUNCTION("""COMPUTED_VALUE"""),44979.37171655093)</f>
        <v>44979.37172</v>
      </c>
      <c r="B12" s="197" t="str">
        <f>IFERROR(__xludf.DUMMYFUNCTION("""COMPUTED_VALUE"""),"VPA - 600 - Giang")</f>
        <v>VPA - 600 - Giang</v>
      </c>
      <c r="C12" s="197" t="str">
        <f>IFERROR(__xludf.DUMMYFUNCTION("""COMPUTED_VALUE"""),"Không nộp bài test traning đúng hạn")</f>
        <v>Không nộp bài test traning đúng hạn</v>
      </c>
      <c r="D12" s="197">
        <f>IFERROR(__xludf.DUMMYFUNCTION("""COMPUTED_VALUE"""),-1.0)</f>
        <v>-1</v>
      </c>
      <c r="E12" s="197"/>
    </row>
    <row r="13">
      <c r="A13" s="222" t="str">
        <f>IFERROR(__xludf.DUMMYFUNCTION("""COMPUTED_VALUE"""),"")</f>
        <v/>
      </c>
      <c r="B13" s="248"/>
      <c r="C13" s="250"/>
      <c r="D13" s="215"/>
      <c r="E13" s="214"/>
      <c r="F13" s="214"/>
    </row>
    <row r="14">
      <c r="A14" s="222"/>
      <c r="B14" s="248"/>
      <c r="C14" s="248"/>
      <c r="D14" s="258"/>
      <c r="E14" s="83"/>
      <c r="F14" s="83"/>
    </row>
    <row r="15">
      <c r="A15" s="222"/>
      <c r="B15" s="248"/>
      <c r="C15" s="248"/>
      <c r="D15" s="258"/>
      <c r="E15" s="248"/>
      <c r="F15" s="223"/>
    </row>
    <row r="16">
      <c r="A16" s="222"/>
      <c r="B16" s="223"/>
      <c r="C16" s="250"/>
      <c r="D16" s="215"/>
      <c r="E16" s="214"/>
      <c r="F16" s="214"/>
    </row>
    <row r="17">
      <c r="A17" s="222"/>
      <c r="B17" s="223"/>
      <c r="C17" s="250"/>
      <c r="D17" s="215"/>
      <c r="E17" s="214"/>
      <c r="F17" s="214"/>
    </row>
    <row r="18">
      <c r="A18" s="83"/>
      <c r="B18" s="83"/>
      <c r="C18" s="214"/>
      <c r="D18" s="213"/>
      <c r="E18" s="214"/>
      <c r="F18" s="214"/>
    </row>
    <row r="19">
      <c r="A19" s="83"/>
      <c r="B19" s="83"/>
      <c r="C19" s="214"/>
      <c r="D19" s="213"/>
      <c r="E19" s="214"/>
      <c r="F19" s="214"/>
    </row>
    <row r="20">
      <c r="A20" s="83"/>
      <c r="B20" s="83"/>
      <c r="C20" s="214"/>
      <c r="D20" s="213"/>
      <c r="E20" s="214"/>
      <c r="F20" s="214"/>
    </row>
    <row r="21">
      <c r="A21" s="83"/>
      <c r="B21" s="83"/>
      <c r="C21" s="214"/>
      <c r="D21" s="213"/>
      <c r="E21" s="214"/>
      <c r="F21" s="214"/>
    </row>
    <row r="22">
      <c r="A22" s="83"/>
      <c r="B22" s="83"/>
      <c r="C22" s="214"/>
      <c r="D22" s="213"/>
      <c r="E22" s="214"/>
      <c r="F22" s="214"/>
    </row>
    <row r="23">
      <c r="A23" s="83"/>
      <c r="B23" s="83"/>
      <c r="C23" s="214"/>
      <c r="D23" s="213"/>
      <c r="E23" s="214"/>
      <c r="F23" s="214"/>
    </row>
    <row r="24">
      <c r="A24" s="83"/>
      <c r="B24" s="83"/>
      <c r="C24" s="214"/>
      <c r="D24" s="213"/>
      <c r="E24" s="214"/>
      <c r="F24" s="214"/>
    </row>
    <row r="25">
      <c r="A25" s="83"/>
      <c r="B25" s="83"/>
      <c r="C25" s="214"/>
      <c r="D25" s="213"/>
      <c r="E25" s="214"/>
      <c r="F25" s="214"/>
    </row>
    <row r="26">
      <c r="A26" s="83"/>
      <c r="B26" s="83"/>
      <c r="C26" s="214"/>
      <c r="D26" s="213"/>
      <c r="E26" s="214"/>
      <c r="F26" s="214"/>
    </row>
    <row r="27">
      <c r="A27" s="83"/>
      <c r="B27" s="83"/>
      <c r="C27" s="214"/>
      <c r="D27" s="213"/>
      <c r="E27" s="214"/>
      <c r="F27" s="214"/>
    </row>
    <row r="28">
      <c r="A28" s="83"/>
      <c r="B28" s="83"/>
      <c r="C28" s="214"/>
      <c r="D28" s="213"/>
      <c r="E28" s="214"/>
      <c r="F28" s="214"/>
    </row>
    <row r="29">
      <c r="A29" s="83"/>
      <c r="B29" s="83"/>
      <c r="C29" s="214"/>
      <c r="D29" s="213"/>
      <c r="E29" s="214"/>
      <c r="F29" s="214"/>
    </row>
    <row r="30">
      <c r="A30" s="83"/>
      <c r="B30" s="83"/>
      <c r="C30" s="214"/>
      <c r="D30" s="213"/>
      <c r="E30" s="214"/>
      <c r="F30" s="214"/>
    </row>
    <row r="31">
      <c r="A31" s="83"/>
      <c r="B31" s="83"/>
      <c r="C31" s="214"/>
      <c r="D31" s="213"/>
      <c r="E31" s="214"/>
      <c r="F31" s="214"/>
    </row>
    <row r="32">
      <c r="A32" s="83"/>
      <c r="B32" s="83"/>
      <c r="C32" s="214"/>
      <c r="D32" s="213"/>
      <c r="E32" s="214"/>
      <c r="F32" s="214"/>
    </row>
    <row r="33">
      <c r="A33" s="83"/>
      <c r="B33" s="83"/>
      <c r="C33" s="214"/>
      <c r="D33" s="213"/>
      <c r="E33" s="214"/>
      <c r="F33" s="214"/>
    </row>
    <row r="34">
      <c r="A34" s="83"/>
      <c r="B34" s="83"/>
      <c r="C34" s="214"/>
      <c r="D34" s="213"/>
      <c r="E34" s="214"/>
      <c r="F34" s="214"/>
    </row>
    <row r="35">
      <c r="A35" s="83"/>
      <c r="B35" s="83"/>
      <c r="C35" s="214"/>
      <c r="D35" s="213"/>
      <c r="E35" s="214"/>
      <c r="F35" s="214"/>
    </row>
    <row r="36">
      <c r="A36" s="83"/>
      <c r="B36" s="83"/>
      <c r="C36" s="214"/>
      <c r="D36" s="213"/>
      <c r="E36" s="214"/>
      <c r="F36" s="214"/>
    </row>
    <row r="37">
      <c r="A37" s="83"/>
      <c r="B37" s="83"/>
      <c r="C37" s="214"/>
      <c r="D37" s="213"/>
      <c r="E37" s="214"/>
      <c r="F37" s="214"/>
    </row>
    <row r="38">
      <c r="A38" s="83"/>
      <c r="B38" s="83"/>
      <c r="C38" s="214"/>
      <c r="D38" s="213"/>
      <c r="E38" s="214"/>
      <c r="F38" s="214"/>
    </row>
    <row r="39">
      <c r="A39" s="83"/>
      <c r="B39" s="83"/>
      <c r="C39" s="214"/>
      <c r="D39" s="213"/>
      <c r="E39" s="214"/>
      <c r="F39" s="214"/>
    </row>
    <row r="40">
      <c r="A40" s="83"/>
      <c r="B40" s="83"/>
      <c r="C40" s="214"/>
      <c r="D40" s="213"/>
      <c r="E40" s="214"/>
      <c r="F40" s="214"/>
    </row>
    <row r="41">
      <c r="A41" s="83"/>
      <c r="B41" s="83"/>
      <c r="C41" s="214"/>
      <c r="D41" s="213"/>
      <c r="E41" s="214"/>
      <c r="F41" s="214"/>
    </row>
    <row r="42">
      <c r="A42" s="83"/>
      <c r="B42" s="83"/>
      <c r="C42" s="214"/>
      <c r="D42" s="213"/>
      <c r="E42" s="214"/>
      <c r="F42" s="214"/>
    </row>
    <row r="43">
      <c r="A43" s="83"/>
      <c r="B43" s="83"/>
      <c r="C43" s="214"/>
      <c r="D43" s="213"/>
      <c r="E43" s="214"/>
      <c r="F43" s="214"/>
    </row>
    <row r="44">
      <c r="A44" s="83"/>
      <c r="B44" s="83"/>
      <c r="C44" s="214"/>
      <c r="D44" s="213"/>
      <c r="E44" s="214"/>
      <c r="F44" s="214"/>
    </row>
    <row r="45">
      <c r="A45" s="83"/>
      <c r="B45" s="83"/>
      <c r="C45" s="214"/>
      <c r="D45" s="213"/>
      <c r="E45" s="214"/>
      <c r="F45" s="214"/>
    </row>
    <row r="46">
      <c r="A46" s="83"/>
      <c r="B46" s="83"/>
      <c r="C46" s="214"/>
      <c r="D46" s="213"/>
      <c r="E46" s="214"/>
      <c r="F46" s="214"/>
    </row>
    <row r="47">
      <c r="A47" s="83"/>
      <c r="B47" s="83"/>
      <c r="C47" s="214"/>
      <c r="D47" s="213"/>
      <c r="E47" s="214"/>
      <c r="F47" s="214"/>
    </row>
    <row r="48">
      <c r="A48" s="83"/>
      <c r="B48" s="83"/>
      <c r="C48" s="214"/>
      <c r="D48" s="213"/>
      <c r="E48" s="214"/>
      <c r="F48" s="214"/>
    </row>
    <row r="49">
      <c r="A49" s="83"/>
      <c r="B49" s="83"/>
      <c r="C49" s="214"/>
      <c r="D49" s="213"/>
      <c r="E49" s="214"/>
      <c r="F49" s="214"/>
    </row>
    <row r="50">
      <c r="A50" s="83"/>
      <c r="B50" s="83"/>
      <c r="C50" s="214"/>
      <c r="D50" s="213"/>
      <c r="E50" s="214"/>
      <c r="F50" s="214"/>
    </row>
    <row r="51">
      <c r="A51" s="83"/>
      <c r="B51" s="83"/>
      <c r="C51" s="214"/>
      <c r="D51" s="213"/>
      <c r="E51" s="214"/>
      <c r="F51" s="214"/>
    </row>
    <row r="52">
      <c r="A52" s="83"/>
      <c r="B52" s="83"/>
      <c r="C52" s="214"/>
      <c r="D52" s="213"/>
      <c r="E52" s="214"/>
      <c r="F52" s="214"/>
    </row>
    <row r="53">
      <c r="A53" s="83"/>
      <c r="B53" s="83"/>
      <c r="C53" s="214"/>
      <c r="D53" s="213"/>
      <c r="E53" s="214"/>
      <c r="F53" s="214"/>
    </row>
    <row r="54">
      <c r="A54" s="83"/>
      <c r="B54" s="83"/>
      <c r="C54" s="214"/>
      <c r="D54" s="213"/>
      <c r="E54" s="214"/>
      <c r="F54" s="214"/>
    </row>
    <row r="55">
      <c r="A55" s="83"/>
      <c r="B55" s="83"/>
      <c r="C55" s="214"/>
      <c r="D55" s="213"/>
      <c r="E55" s="214"/>
      <c r="F55" s="214"/>
    </row>
    <row r="56">
      <c r="A56" s="83"/>
      <c r="B56" s="83"/>
      <c r="C56" s="214"/>
      <c r="D56" s="213"/>
      <c r="E56" s="214"/>
      <c r="F56" s="214"/>
    </row>
    <row r="57">
      <c r="A57" s="83"/>
      <c r="B57" s="83"/>
      <c r="C57" s="214"/>
      <c r="D57" s="213"/>
      <c r="E57" s="214"/>
      <c r="F57" s="214"/>
    </row>
    <row r="58">
      <c r="A58" s="83"/>
      <c r="B58" s="83"/>
      <c r="C58" s="214"/>
      <c r="D58" s="213"/>
      <c r="E58" s="214"/>
      <c r="F58" s="214"/>
    </row>
    <row r="59">
      <c r="A59" s="83"/>
      <c r="B59" s="83"/>
      <c r="C59" s="214"/>
      <c r="D59" s="213"/>
      <c r="E59" s="214"/>
      <c r="F59" s="214"/>
    </row>
    <row r="60">
      <c r="A60" s="83"/>
      <c r="B60" s="83"/>
      <c r="C60" s="214"/>
      <c r="D60" s="213"/>
      <c r="E60" s="214"/>
      <c r="F60" s="214"/>
    </row>
    <row r="61">
      <c r="A61" s="83"/>
      <c r="B61" s="83"/>
      <c r="C61" s="214"/>
      <c r="D61" s="213"/>
      <c r="E61" s="214"/>
      <c r="F61" s="214"/>
    </row>
    <row r="62">
      <c r="A62" s="83"/>
      <c r="B62" s="83"/>
      <c r="C62" s="214"/>
      <c r="D62" s="213"/>
      <c r="E62" s="214"/>
      <c r="F62" s="214"/>
    </row>
    <row r="63">
      <c r="A63" s="83"/>
      <c r="B63" s="83"/>
      <c r="C63" s="214"/>
      <c r="D63" s="213"/>
      <c r="E63" s="214"/>
      <c r="F63" s="214"/>
    </row>
    <row r="64">
      <c r="A64" s="83"/>
      <c r="B64" s="83"/>
      <c r="C64" s="214"/>
      <c r="D64" s="213"/>
      <c r="E64" s="214"/>
      <c r="F64" s="214"/>
    </row>
    <row r="65">
      <c r="A65" s="83"/>
      <c r="B65" s="83"/>
      <c r="C65" s="214"/>
      <c r="D65" s="213"/>
      <c r="E65" s="214"/>
      <c r="F65" s="214"/>
    </row>
    <row r="66">
      <c r="A66" s="83"/>
      <c r="B66" s="83"/>
      <c r="C66" s="214"/>
      <c r="D66" s="213"/>
      <c r="E66" s="214"/>
      <c r="F66" s="214"/>
    </row>
    <row r="67">
      <c r="A67" s="83"/>
      <c r="B67" s="83"/>
      <c r="C67" s="214"/>
      <c r="D67" s="213"/>
      <c r="E67" s="214"/>
      <c r="F67" s="214"/>
    </row>
    <row r="68">
      <c r="A68" s="83"/>
      <c r="B68" s="83"/>
      <c r="C68" s="214"/>
      <c r="D68" s="213"/>
      <c r="E68" s="214"/>
      <c r="F68" s="214"/>
    </row>
    <row r="69">
      <c r="A69" s="83"/>
      <c r="B69" s="83"/>
      <c r="C69" s="214"/>
      <c r="D69" s="213"/>
      <c r="E69" s="214"/>
      <c r="F69" s="214"/>
    </row>
    <row r="70">
      <c r="A70" s="83"/>
      <c r="B70" s="83"/>
      <c r="C70" s="214"/>
      <c r="D70" s="213"/>
      <c r="E70" s="214"/>
      <c r="F70" s="214"/>
    </row>
    <row r="71">
      <c r="A71" s="83"/>
      <c r="B71" s="83"/>
      <c r="C71" s="214"/>
      <c r="D71" s="213"/>
      <c r="E71" s="214"/>
      <c r="F71" s="214"/>
    </row>
    <row r="72">
      <c r="A72" s="83"/>
      <c r="B72" s="83"/>
      <c r="C72" s="214"/>
      <c r="D72" s="213"/>
      <c r="E72" s="214"/>
      <c r="F72" s="214"/>
    </row>
    <row r="73">
      <c r="A73" s="83"/>
      <c r="B73" s="83"/>
      <c r="C73" s="214"/>
      <c r="D73" s="213"/>
      <c r="E73" s="214"/>
      <c r="F73" s="214"/>
    </row>
    <row r="74">
      <c r="A74" s="83"/>
      <c r="B74" s="83"/>
      <c r="C74" s="214"/>
      <c r="D74" s="213"/>
      <c r="E74" s="214"/>
      <c r="F74" s="214"/>
    </row>
    <row r="75">
      <c r="A75" s="83"/>
      <c r="B75" s="83"/>
      <c r="C75" s="214"/>
      <c r="D75" s="213"/>
      <c r="E75" s="214"/>
      <c r="F75" s="214"/>
    </row>
    <row r="76">
      <c r="A76" s="83"/>
      <c r="B76" s="83"/>
      <c r="C76" s="214"/>
      <c r="D76" s="213"/>
      <c r="E76" s="214"/>
      <c r="F76" s="214"/>
    </row>
    <row r="77">
      <c r="A77" s="83"/>
      <c r="B77" s="83"/>
      <c r="C77" s="214"/>
      <c r="D77" s="213"/>
      <c r="E77" s="214"/>
      <c r="F77" s="214"/>
    </row>
    <row r="78">
      <c r="A78" s="83"/>
      <c r="B78" s="83"/>
      <c r="C78" s="214"/>
      <c r="D78" s="213"/>
      <c r="E78" s="214"/>
      <c r="F78" s="214"/>
    </row>
    <row r="79">
      <c r="A79" s="83"/>
      <c r="B79" s="83"/>
      <c r="C79" s="214"/>
      <c r="D79" s="213"/>
      <c r="E79" s="214"/>
      <c r="F79" s="214"/>
    </row>
    <row r="80">
      <c r="A80" s="83"/>
      <c r="B80" s="83"/>
      <c r="C80" s="214"/>
      <c r="D80" s="213"/>
      <c r="E80" s="214"/>
      <c r="F80" s="214"/>
    </row>
    <row r="81">
      <c r="A81" s="83"/>
      <c r="B81" s="83"/>
      <c r="C81" s="214"/>
      <c r="D81" s="213"/>
      <c r="E81" s="214"/>
      <c r="F81" s="214"/>
    </row>
    <row r="82">
      <c r="A82" s="83"/>
      <c r="B82" s="83"/>
      <c r="C82" s="214"/>
      <c r="D82" s="213"/>
      <c r="E82" s="214"/>
      <c r="F82" s="214"/>
    </row>
    <row r="83">
      <c r="A83" s="83"/>
      <c r="B83" s="83"/>
      <c r="C83" s="214"/>
      <c r="D83" s="213"/>
      <c r="E83" s="214"/>
      <c r="F83" s="214"/>
    </row>
    <row r="84">
      <c r="A84" s="83"/>
      <c r="B84" s="83"/>
      <c r="C84" s="214"/>
      <c r="D84" s="213"/>
      <c r="E84" s="214"/>
      <c r="F84" s="214"/>
    </row>
    <row r="85">
      <c r="A85" s="83"/>
      <c r="B85" s="83"/>
      <c r="C85" s="214"/>
      <c r="D85" s="213"/>
      <c r="E85" s="214"/>
      <c r="F85" s="214"/>
    </row>
    <row r="86">
      <c r="A86" s="83"/>
      <c r="B86" s="83"/>
      <c r="C86" s="214"/>
      <c r="D86" s="213"/>
      <c r="E86" s="214"/>
      <c r="F86" s="214"/>
    </row>
    <row r="87">
      <c r="A87" s="83"/>
      <c r="B87" s="83"/>
      <c r="C87" s="214"/>
      <c r="D87" s="213"/>
      <c r="E87" s="214"/>
      <c r="F87" s="214"/>
    </row>
    <row r="88">
      <c r="A88" s="83"/>
      <c r="B88" s="83"/>
      <c r="C88" s="214"/>
      <c r="D88" s="213"/>
      <c r="E88" s="214"/>
      <c r="F88" s="214"/>
    </row>
    <row r="89">
      <c r="A89" s="83"/>
      <c r="B89" s="83"/>
      <c r="C89" s="214"/>
      <c r="D89" s="213"/>
      <c r="E89" s="214"/>
      <c r="F89" s="214"/>
    </row>
    <row r="90">
      <c r="A90" s="83"/>
      <c r="B90" s="83"/>
      <c r="C90" s="214"/>
      <c r="D90" s="213"/>
      <c r="E90" s="214"/>
      <c r="F90" s="214"/>
    </row>
    <row r="91">
      <c r="A91" s="83"/>
      <c r="B91" s="83"/>
      <c r="C91" s="214"/>
      <c r="D91" s="213"/>
      <c r="E91" s="214"/>
      <c r="F91" s="214"/>
    </row>
    <row r="92">
      <c r="A92" s="83"/>
      <c r="B92" s="83"/>
      <c r="C92" s="214"/>
      <c r="D92" s="213"/>
      <c r="E92" s="214"/>
      <c r="F92" s="214"/>
    </row>
    <row r="93">
      <c r="A93" s="83"/>
      <c r="B93" s="83"/>
      <c r="C93" s="214"/>
      <c r="D93" s="213"/>
      <c r="E93" s="214"/>
      <c r="F93" s="214"/>
    </row>
    <row r="94">
      <c r="A94" s="83"/>
      <c r="B94" s="83"/>
      <c r="C94" s="214"/>
      <c r="D94" s="213"/>
      <c r="E94" s="214"/>
      <c r="F94" s="214"/>
    </row>
    <row r="95">
      <c r="A95" s="83"/>
      <c r="B95" s="83"/>
      <c r="C95" s="214"/>
      <c r="D95" s="213"/>
      <c r="E95" s="214"/>
      <c r="F95" s="214"/>
    </row>
    <row r="96">
      <c r="A96" s="83"/>
      <c r="B96" s="83"/>
      <c r="C96" s="214"/>
      <c r="D96" s="213"/>
      <c r="E96" s="214"/>
      <c r="F96" s="214"/>
    </row>
    <row r="97">
      <c r="A97" s="83"/>
      <c r="B97" s="83"/>
      <c r="C97" s="214"/>
      <c r="D97" s="213"/>
      <c r="E97" s="214"/>
      <c r="F97" s="214"/>
    </row>
    <row r="98">
      <c r="A98" s="83"/>
      <c r="B98" s="83"/>
      <c r="C98" s="214"/>
      <c r="D98" s="213"/>
      <c r="E98" s="214"/>
      <c r="F98" s="214"/>
    </row>
    <row r="99">
      <c r="A99" s="83"/>
      <c r="B99" s="83"/>
      <c r="C99" s="214"/>
      <c r="D99" s="213"/>
      <c r="E99" s="214"/>
      <c r="F99" s="214"/>
    </row>
    <row r="100">
      <c r="A100" s="83"/>
      <c r="B100" s="83"/>
      <c r="C100" s="214"/>
      <c r="D100" s="213"/>
      <c r="E100" s="214"/>
      <c r="F100" s="214"/>
    </row>
    <row r="101">
      <c r="A101" s="83"/>
      <c r="B101" s="83"/>
      <c r="C101" s="214"/>
      <c r="D101" s="213"/>
      <c r="E101" s="214"/>
      <c r="F101" s="214"/>
    </row>
    <row r="102">
      <c r="A102" s="83"/>
      <c r="B102" s="83"/>
      <c r="C102" s="214"/>
      <c r="D102" s="213"/>
      <c r="E102" s="214"/>
      <c r="F102" s="214"/>
    </row>
    <row r="103">
      <c r="A103" s="83"/>
      <c r="B103" s="83"/>
      <c r="C103" s="214"/>
      <c r="D103" s="213"/>
      <c r="E103" s="214"/>
      <c r="F103" s="214"/>
    </row>
    <row r="104">
      <c r="A104" s="83"/>
      <c r="B104" s="83"/>
      <c r="C104" s="214"/>
      <c r="D104" s="213"/>
      <c r="E104" s="214"/>
      <c r="F104" s="214"/>
    </row>
    <row r="105">
      <c r="A105" s="83"/>
      <c r="B105" s="83"/>
      <c r="C105" s="214"/>
      <c r="D105" s="213"/>
      <c r="E105" s="214"/>
      <c r="F105" s="214"/>
    </row>
    <row r="106">
      <c r="A106" s="83"/>
      <c r="B106" s="83"/>
      <c r="C106" s="214"/>
      <c r="D106" s="213"/>
      <c r="E106" s="214"/>
      <c r="F106" s="214"/>
    </row>
    <row r="107">
      <c r="A107" s="83"/>
      <c r="B107" s="83"/>
      <c r="C107" s="214"/>
      <c r="D107" s="213"/>
      <c r="E107" s="214"/>
      <c r="F107" s="214"/>
    </row>
    <row r="108">
      <c r="A108" s="83"/>
      <c r="B108" s="83"/>
      <c r="C108" s="214"/>
      <c r="D108" s="213"/>
      <c r="E108" s="214"/>
      <c r="F108" s="214"/>
    </row>
    <row r="109">
      <c r="A109" s="83"/>
      <c r="B109" s="83"/>
      <c r="C109" s="214"/>
      <c r="D109" s="213"/>
      <c r="E109" s="214"/>
      <c r="F109" s="214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8.88"/>
    <col customWidth="1" min="3" max="3" width="51.88"/>
    <col customWidth="1" min="4" max="4" width="29.0"/>
    <col customWidth="1" min="5" max="6" width="18.88"/>
  </cols>
  <sheetData>
    <row r="1">
      <c r="A1" s="217" t="str">
        <f>IFERROR(__xludf.DUMMYFUNCTION("importrange(""https://docs.google.com/spreadsheets/d/1lLUezGr04gttZmCjozdXOUr60iM6OX1ezrYWKwC1J1g/edit?gid=1274817499#gid=1274817499"",""300!A:E"")"),"300 Form Result - 양식 결과")</f>
        <v>300 Form Result - 양식 결과</v>
      </c>
    </row>
    <row r="2">
      <c r="A2" s="255" t="str">
        <f>IFERROR(__xludf.DUMMYFUNCTION("""COMPUTED_VALUE"""),"Timestamp")</f>
        <v>Timestamp</v>
      </c>
      <c r="B2" s="256" t="str">
        <f>IFERROR(__xludf.DUMMYFUNCTION("""COMPUTED_VALUE"""),"1. Penalty &amp; Bonus Staff")</f>
        <v>1. Penalty &amp; Bonus Staff</v>
      </c>
      <c r="C2" s="257" t="str">
        <f>IFERROR(__xludf.DUMMYFUNCTION("""COMPUTED_VALUE"""),"2. Reason - 이유:")</f>
        <v>2. Reason - 이유:</v>
      </c>
      <c r="D2" s="257" t="str">
        <f>IFERROR(__xludf.DUMMYFUNCTION("""COMPUTED_VALUE"""),"3. Penalty Point (-) / Bonus Point (+) ")</f>
        <v>3. Penalty Point (-) / Bonus Point (+) </v>
      </c>
      <c r="E2" s="257" t="str">
        <f>IFERROR(__xludf.DUMMYFUNCTION("""COMPUTED_VALUE"""),"4. Note - 노트")</f>
        <v>4. Note - 노트</v>
      </c>
      <c r="F2" s="257"/>
    </row>
    <row r="3">
      <c r="A3" s="221">
        <f>IFERROR(__xludf.DUMMYFUNCTION("""COMPUTED_VALUE"""),45464.68196255787)</f>
        <v>45464.68196</v>
      </c>
      <c r="B3" s="197" t="str">
        <f>IFERROR(__xludf.DUMMYFUNCTION("""COMPUTED_VALUE"""),"GROUP - 300 - Sim")</f>
        <v>GROUP - 300 - Sim</v>
      </c>
      <c r="C3" s="197" t="str">
        <f>IFERROR(__xludf.DUMMYFUNCTION("""COMPUTED_VALUE"""),"Hiểu rất rõ về cách làm Cashplan")</f>
        <v>Hiểu rất rõ về cách làm Cashplan</v>
      </c>
      <c r="D3" s="197">
        <f>IFERROR(__xludf.DUMMYFUNCTION("""COMPUTED_VALUE"""),1.0)</f>
        <v>1</v>
      </c>
      <c r="E3" s="197"/>
    </row>
    <row r="4">
      <c r="A4" s="221">
        <f>IFERROR(__xludf.DUMMYFUNCTION("""COMPUTED_VALUE"""),45652.69334653935)</f>
        <v>45652.69335</v>
      </c>
      <c r="B4" s="197" t="str">
        <f>IFERROR(__xludf.DUMMYFUNCTION("""COMPUTED_VALUE"""),"GROUP - 300 - Thuy")</f>
        <v>GROUP - 300 - Thuy</v>
      </c>
      <c r="C4" s="197" t="str">
        <f>IFERROR(__xludf.DUMMYFUNCTION("""COMPUTED_VALUE"""),"Đưa ra giải pháp tốt liên quan đến việc thanh toán căn hộ MIK 0706")</f>
        <v>Đưa ra giải pháp tốt liên quan đến việc thanh toán căn hộ MIK 0706</v>
      </c>
      <c r="D4" s="197">
        <f>IFERROR(__xludf.DUMMYFUNCTION("""COMPUTED_VALUE"""),1.0)</f>
        <v>1</v>
      </c>
      <c r="E4" s="197"/>
    </row>
    <row r="5">
      <c r="A5" s="221">
        <f>IFERROR(__xludf.DUMMYFUNCTION("""COMPUTED_VALUE"""),45729.42897908565)</f>
        <v>45729.42898</v>
      </c>
      <c r="B5" s="197" t="str">
        <f>IFERROR(__xludf.DUMMYFUNCTION("""COMPUTED_VALUE"""),"GROUP - 300 - Thuy")</f>
        <v>GROUP - 300 - Thuy</v>
      </c>
      <c r="C5" s="197" t="str">
        <f>IFERROR(__xludf.DUMMYFUNCTION("""COMPUTED_VALUE"""),"Optimized cost, expense of ADD 2024 (Auditing) ")</f>
        <v>Optimized cost, expense of ADD 2024 (Auditing) </v>
      </c>
      <c r="D5" s="197">
        <f>IFERROR(__xludf.DUMMYFUNCTION("""COMPUTED_VALUE"""),1.0)</f>
        <v>1</v>
      </c>
      <c r="E5" s="197"/>
    </row>
    <row r="6">
      <c r="A6" s="222"/>
      <c r="B6" s="248"/>
      <c r="C6" s="250"/>
      <c r="D6" s="215"/>
      <c r="E6" s="214"/>
      <c r="F6" s="214"/>
    </row>
    <row r="7">
      <c r="A7" s="222"/>
      <c r="B7" s="248"/>
      <c r="C7" s="248"/>
      <c r="D7" s="258"/>
      <c r="E7" s="83"/>
      <c r="F7" s="83"/>
    </row>
    <row r="8">
      <c r="A8" s="222"/>
      <c r="B8" s="248"/>
      <c r="C8" s="248"/>
      <c r="D8" s="258"/>
      <c r="E8" s="248"/>
      <c r="F8" s="223"/>
    </row>
    <row r="9">
      <c r="A9" s="222"/>
      <c r="B9" s="223"/>
      <c r="C9" s="250"/>
      <c r="D9" s="215"/>
      <c r="E9" s="214"/>
      <c r="F9" s="214"/>
    </row>
    <row r="10">
      <c r="A10" s="222"/>
      <c r="B10" s="223"/>
      <c r="C10" s="250"/>
      <c r="D10" s="215"/>
      <c r="E10" s="214"/>
      <c r="F10" s="214"/>
    </row>
    <row r="11">
      <c r="A11" s="83"/>
      <c r="B11" s="83"/>
      <c r="C11" s="214"/>
      <c r="D11" s="213"/>
      <c r="E11" s="214"/>
      <c r="F11" s="214"/>
    </row>
    <row r="12">
      <c r="A12" s="83"/>
      <c r="B12" s="83"/>
      <c r="C12" s="214"/>
      <c r="D12" s="213"/>
      <c r="E12" s="214"/>
      <c r="F12" s="214"/>
    </row>
    <row r="13">
      <c r="A13" s="83"/>
      <c r="B13" s="83"/>
      <c r="C13" s="214"/>
      <c r="D13" s="213"/>
      <c r="E13" s="214"/>
      <c r="F13" s="214"/>
    </row>
    <row r="14">
      <c r="A14" s="83"/>
      <c r="B14" s="83"/>
      <c r="C14" s="214"/>
      <c r="D14" s="213"/>
      <c r="E14" s="214"/>
      <c r="F14" s="214"/>
    </row>
    <row r="15">
      <c r="A15" s="83"/>
      <c r="B15" s="83"/>
      <c r="C15" s="214"/>
      <c r="D15" s="213"/>
      <c r="E15" s="214"/>
      <c r="F15" s="214"/>
    </row>
    <row r="16">
      <c r="A16" s="83"/>
      <c r="B16" s="83"/>
      <c r="C16" s="214"/>
      <c r="D16" s="213"/>
      <c r="E16" s="214"/>
      <c r="F16" s="214"/>
    </row>
    <row r="17">
      <c r="A17" s="83"/>
      <c r="B17" s="83"/>
      <c r="C17" s="214"/>
      <c r="D17" s="213"/>
      <c r="E17" s="214"/>
      <c r="F17" s="214"/>
    </row>
    <row r="18">
      <c r="A18" s="83"/>
      <c r="B18" s="83"/>
      <c r="C18" s="214"/>
      <c r="D18" s="213"/>
      <c r="E18" s="214"/>
      <c r="F18" s="214"/>
    </row>
    <row r="19">
      <c r="A19" s="83"/>
      <c r="B19" s="83"/>
      <c r="C19" s="214"/>
      <c r="D19" s="213"/>
      <c r="E19" s="214"/>
      <c r="F19" s="214"/>
    </row>
    <row r="20">
      <c r="A20" s="83"/>
      <c r="B20" s="83"/>
      <c r="C20" s="214"/>
      <c r="D20" s="213"/>
      <c r="E20" s="214"/>
      <c r="F20" s="214"/>
    </row>
    <row r="21">
      <c r="A21" s="83"/>
      <c r="B21" s="83"/>
      <c r="C21" s="214"/>
      <c r="D21" s="213"/>
      <c r="E21" s="214"/>
      <c r="F21" s="214"/>
    </row>
    <row r="22">
      <c r="A22" s="83"/>
      <c r="B22" s="83"/>
      <c r="C22" s="214"/>
      <c r="D22" s="213"/>
      <c r="E22" s="214"/>
      <c r="F22" s="214"/>
    </row>
    <row r="23">
      <c r="A23" s="83"/>
      <c r="B23" s="83"/>
      <c r="C23" s="214"/>
      <c r="D23" s="213"/>
      <c r="E23" s="214"/>
      <c r="F23" s="214"/>
    </row>
    <row r="24">
      <c r="A24" s="83"/>
      <c r="B24" s="83"/>
      <c r="C24" s="214"/>
      <c r="D24" s="213"/>
      <c r="E24" s="214"/>
      <c r="F24" s="214"/>
    </row>
    <row r="25">
      <c r="A25" s="83"/>
      <c r="B25" s="83"/>
      <c r="C25" s="214"/>
      <c r="D25" s="213"/>
      <c r="E25" s="214"/>
      <c r="F25" s="214"/>
    </row>
    <row r="26">
      <c r="A26" s="83"/>
      <c r="B26" s="83"/>
      <c r="C26" s="214"/>
      <c r="D26" s="213"/>
      <c r="E26" s="214"/>
      <c r="F26" s="214"/>
    </row>
    <row r="27">
      <c r="A27" s="83"/>
      <c r="B27" s="83"/>
      <c r="C27" s="214"/>
      <c r="D27" s="213"/>
      <c r="E27" s="214"/>
      <c r="F27" s="214"/>
    </row>
    <row r="28">
      <c r="A28" s="83"/>
      <c r="B28" s="83"/>
      <c r="C28" s="214"/>
      <c r="D28" s="213"/>
      <c r="E28" s="214"/>
      <c r="F28" s="214"/>
    </row>
    <row r="29">
      <c r="A29" s="83"/>
      <c r="B29" s="83"/>
      <c r="C29" s="214"/>
      <c r="D29" s="213"/>
      <c r="E29" s="214"/>
      <c r="F29" s="214"/>
    </row>
    <row r="30">
      <c r="A30" s="83"/>
      <c r="B30" s="83"/>
      <c r="C30" s="214"/>
      <c r="D30" s="213"/>
      <c r="E30" s="214"/>
      <c r="F30" s="214"/>
    </row>
    <row r="31">
      <c r="A31" s="83"/>
      <c r="B31" s="83"/>
      <c r="C31" s="214"/>
      <c r="D31" s="213"/>
      <c r="E31" s="214"/>
      <c r="F31" s="214"/>
    </row>
    <row r="32">
      <c r="A32" s="83"/>
      <c r="B32" s="83"/>
      <c r="C32" s="214"/>
      <c r="D32" s="213"/>
      <c r="E32" s="214"/>
      <c r="F32" s="214"/>
    </row>
    <row r="33">
      <c r="A33" s="83"/>
      <c r="B33" s="83"/>
      <c r="C33" s="214"/>
      <c r="D33" s="213"/>
      <c r="E33" s="214"/>
      <c r="F33" s="214"/>
    </row>
    <row r="34">
      <c r="A34" s="83"/>
      <c r="B34" s="83"/>
      <c r="C34" s="214"/>
      <c r="D34" s="213"/>
      <c r="E34" s="214"/>
      <c r="F34" s="214"/>
    </row>
    <row r="35">
      <c r="A35" s="83"/>
      <c r="B35" s="83"/>
      <c r="C35" s="214"/>
      <c r="D35" s="213"/>
      <c r="E35" s="214"/>
      <c r="F35" s="214"/>
    </row>
    <row r="36">
      <c r="A36" s="83"/>
      <c r="B36" s="83"/>
      <c r="C36" s="214"/>
      <c r="D36" s="213"/>
      <c r="E36" s="214"/>
      <c r="F36" s="214"/>
    </row>
    <row r="37">
      <c r="A37" s="83"/>
      <c r="B37" s="83"/>
      <c r="C37" s="214"/>
      <c r="D37" s="213"/>
      <c r="E37" s="214"/>
      <c r="F37" s="214"/>
    </row>
    <row r="38">
      <c r="A38" s="83"/>
      <c r="B38" s="83"/>
      <c r="C38" s="214"/>
      <c r="D38" s="213"/>
      <c r="E38" s="214"/>
      <c r="F38" s="214"/>
    </row>
    <row r="39">
      <c r="A39" s="83"/>
      <c r="B39" s="83"/>
      <c r="C39" s="214"/>
      <c r="D39" s="213"/>
      <c r="E39" s="214"/>
      <c r="F39" s="214"/>
    </row>
    <row r="40">
      <c r="A40" s="83"/>
      <c r="B40" s="83"/>
      <c r="C40" s="214"/>
      <c r="D40" s="213"/>
      <c r="E40" s="214"/>
      <c r="F40" s="214"/>
    </row>
    <row r="41">
      <c r="A41" s="83"/>
      <c r="B41" s="83"/>
      <c r="C41" s="214"/>
      <c r="D41" s="213"/>
      <c r="E41" s="214"/>
      <c r="F41" s="214"/>
    </row>
    <row r="42">
      <c r="A42" s="83"/>
      <c r="B42" s="83"/>
      <c r="C42" s="214"/>
      <c r="D42" s="213"/>
      <c r="E42" s="214"/>
      <c r="F42" s="214"/>
    </row>
    <row r="43">
      <c r="A43" s="83"/>
      <c r="B43" s="83"/>
      <c r="C43" s="214"/>
      <c r="D43" s="213"/>
      <c r="E43" s="214"/>
      <c r="F43" s="214"/>
    </row>
    <row r="44">
      <c r="A44" s="83"/>
      <c r="B44" s="83"/>
      <c r="C44" s="214"/>
      <c r="D44" s="213"/>
      <c r="E44" s="214"/>
      <c r="F44" s="214"/>
    </row>
    <row r="45">
      <c r="A45" s="83"/>
      <c r="B45" s="83"/>
      <c r="C45" s="214"/>
      <c r="D45" s="213"/>
      <c r="E45" s="214"/>
      <c r="F45" s="214"/>
    </row>
    <row r="46">
      <c r="A46" s="83"/>
      <c r="B46" s="83"/>
      <c r="C46" s="214"/>
      <c r="D46" s="213"/>
      <c r="E46" s="214"/>
      <c r="F46" s="214"/>
    </row>
    <row r="47">
      <c r="A47" s="83"/>
      <c r="B47" s="83"/>
      <c r="C47" s="214"/>
      <c r="D47" s="213"/>
      <c r="E47" s="214"/>
      <c r="F47" s="214"/>
    </row>
    <row r="48">
      <c r="A48" s="83"/>
      <c r="B48" s="83"/>
      <c r="C48" s="214"/>
      <c r="D48" s="213"/>
      <c r="E48" s="214"/>
      <c r="F48" s="214"/>
    </row>
    <row r="49">
      <c r="A49" s="83"/>
      <c r="B49" s="83"/>
      <c r="C49" s="214"/>
      <c r="D49" s="213"/>
      <c r="E49" s="214"/>
      <c r="F49" s="214"/>
    </row>
    <row r="50">
      <c r="A50" s="83"/>
      <c r="B50" s="83"/>
      <c r="C50" s="214"/>
      <c r="D50" s="213"/>
      <c r="E50" s="214"/>
      <c r="F50" s="214"/>
    </row>
    <row r="51">
      <c r="A51" s="83"/>
      <c r="B51" s="83"/>
      <c r="C51" s="214"/>
      <c r="D51" s="213"/>
      <c r="E51" s="214"/>
      <c r="F51" s="214"/>
    </row>
    <row r="52">
      <c r="A52" s="83"/>
      <c r="B52" s="83"/>
      <c r="C52" s="214"/>
      <c r="D52" s="213"/>
      <c r="E52" s="214"/>
      <c r="F52" s="214"/>
    </row>
    <row r="53">
      <c r="A53" s="83"/>
      <c r="B53" s="83"/>
      <c r="C53" s="214"/>
      <c r="D53" s="213"/>
      <c r="E53" s="214"/>
      <c r="F53" s="214"/>
    </row>
    <row r="54">
      <c r="A54" s="83"/>
      <c r="B54" s="83"/>
      <c r="C54" s="214"/>
      <c r="D54" s="213"/>
      <c r="E54" s="214"/>
      <c r="F54" s="214"/>
    </row>
    <row r="55">
      <c r="A55" s="83"/>
      <c r="B55" s="83"/>
      <c r="C55" s="214"/>
      <c r="D55" s="213"/>
      <c r="E55" s="214"/>
      <c r="F55" s="214"/>
    </row>
    <row r="56">
      <c r="A56" s="83"/>
      <c r="B56" s="83"/>
      <c r="C56" s="214"/>
      <c r="D56" s="213"/>
      <c r="E56" s="214"/>
      <c r="F56" s="214"/>
    </row>
    <row r="57">
      <c r="A57" s="83"/>
      <c r="B57" s="83"/>
      <c r="C57" s="214"/>
      <c r="D57" s="213"/>
      <c r="E57" s="214"/>
      <c r="F57" s="214"/>
    </row>
    <row r="58">
      <c r="A58" s="83"/>
      <c r="B58" s="83"/>
      <c r="C58" s="214"/>
      <c r="D58" s="213"/>
      <c r="E58" s="214"/>
      <c r="F58" s="214"/>
    </row>
    <row r="59">
      <c r="A59" s="83"/>
      <c r="B59" s="83"/>
      <c r="C59" s="214"/>
      <c r="D59" s="213"/>
      <c r="E59" s="214"/>
      <c r="F59" s="214"/>
    </row>
    <row r="60">
      <c r="A60" s="83"/>
      <c r="B60" s="83"/>
      <c r="C60" s="214"/>
      <c r="D60" s="213"/>
      <c r="E60" s="214"/>
      <c r="F60" s="214"/>
    </row>
    <row r="61">
      <c r="A61" s="83"/>
      <c r="B61" s="83"/>
      <c r="C61" s="214"/>
      <c r="D61" s="213"/>
      <c r="E61" s="214"/>
      <c r="F61" s="214"/>
    </row>
    <row r="62">
      <c r="A62" s="83"/>
      <c r="B62" s="83"/>
      <c r="C62" s="214"/>
      <c r="D62" s="213"/>
      <c r="E62" s="214"/>
      <c r="F62" s="214"/>
    </row>
    <row r="63">
      <c r="A63" s="83"/>
      <c r="B63" s="83"/>
      <c r="C63" s="214"/>
      <c r="D63" s="213"/>
      <c r="E63" s="214"/>
      <c r="F63" s="214"/>
    </row>
    <row r="64">
      <c r="A64" s="83"/>
      <c r="B64" s="83"/>
      <c r="C64" s="214"/>
      <c r="D64" s="213"/>
      <c r="E64" s="214"/>
      <c r="F64" s="214"/>
    </row>
    <row r="65">
      <c r="A65" s="83"/>
      <c r="B65" s="83"/>
      <c r="C65" s="214"/>
      <c r="D65" s="213"/>
      <c r="E65" s="214"/>
      <c r="F65" s="214"/>
    </row>
    <row r="66">
      <c r="A66" s="83"/>
      <c r="B66" s="83"/>
      <c r="C66" s="214"/>
      <c r="D66" s="213"/>
      <c r="E66" s="214"/>
      <c r="F66" s="214"/>
    </row>
    <row r="67">
      <c r="A67" s="83"/>
      <c r="B67" s="83"/>
      <c r="C67" s="214"/>
      <c r="D67" s="213"/>
      <c r="E67" s="214"/>
      <c r="F67" s="214"/>
    </row>
    <row r="68">
      <c r="A68" s="83"/>
      <c r="B68" s="83"/>
      <c r="C68" s="214"/>
      <c r="D68" s="213"/>
      <c r="E68" s="214"/>
      <c r="F68" s="214"/>
    </row>
    <row r="69">
      <c r="A69" s="83"/>
      <c r="B69" s="83"/>
      <c r="C69" s="214"/>
      <c r="D69" s="213"/>
      <c r="E69" s="214"/>
      <c r="F69" s="214"/>
    </row>
    <row r="70">
      <c r="A70" s="83"/>
      <c r="B70" s="83"/>
      <c r="C70" s="214"/>
      <c r="D70" s="213"/>
      <c r="E70" s="214"/>
      <c r="F70" s="214"/>
    </row>
    <row r="71">
      <c r="A71" s="83"/>
      <c r="B71" s="83"/>
      <c r="C71" s="214"/>
      <c r="D71" s="213"/>
      <c r="E71" s="214"/>
      <c r="F71" s="214"/>
    </row>
    <row r="72">
      <c r="A72" s="83"/>
      <c r="B72" s="83"/>
      <c r="C72" s="214"/>
      <c r="D72" s="213"/>
      <c r="E72" s="214"/>
      <c r="F72" s="214"/>
    </row>
    <row r="73">
      <c r="A73" s="83"/>
      <c r="B73" s="83"/>
      <c r="C73" s="214"/>
      <c r="D73" s="213"/>
      <c r="E73" s="214"/>
      <c r="F73" s="214"/>
    </row>
    <row r="74">
      <c r="A74" s="83"/>
      <c r="B74" s="83"/>
      <c r="C74" s="214"/>
      <c r="D74" s="213"/>
      <c r="E74" s="214"/>
      <c r="F74" s="214"/>
    </row>
    <row r="75">
      <c r="A75" s="83"/>
      <c r="B75" s="83"/>
      <c r="C75" s="214"/>
      <c r="D75" s="213"/>
      <c r="E75" s="214"/>
      <c r="F75" s="214"/>
    </row>
    <row r="76">
      <c r="A76" s="83"/>
      <c r="B76" s="83"/>
      <c r="C76" s="214"/>
      <c r="D76" s="213"/>
      <c r="E76" s="214"/>
      <c r="F76" s="214"/>
    </row>
    <row r="77">
      <c r="A77" s="83"/>
      <c r="B77" s="83"/>
      <c r="C77" s="214"/>
      <c r="D77" s="213"/>
      <c r="E77" s="214"/>
      <c r="F77" s="214"/>
    </row>
    <row r="78">
      <c r="A78" s="83"/>
      <c r="B78" s="83"/>
      <c r="C78" s="214"/>
      <c r="D78" s="213"/>
      <c r="E78" s="214"/>
      <c r="F78" s="214"/>
    </row>
    <row r="79">
      <c r="A79" s="83"/>
      <c r="B79" s="83"/>
      <c r="C79" s="214"/>
      <c r="D79" s="213"/>
      <c r="E79" s="214"/>
      <c r="F79" s="214"/>
    </row>
    <row r="80">
      <c r="A80" s="83"/>
      <c r="B80" s="83"/>
      <c r="C80" s="214"/>
      <c r="D80" s="213"/>
      <c r="E80" s="214"/>
      <c r="F80" s="214"/>
    </row>
    <row r="81">
      <c r="A81" s="83"/>
      <c r="B81" s="83"/>
      <c r="C81" s="214"/>
      <c r="D81" s="213"/>
      <c r="E81" s="214"/>
      <c r="F81" s="214"/>
    </row>
    <row r="82">
      <c r="A82" s="83"/>
      <c r="B82" s="83"/>
      <c r="C82" s="214"/>
      <c r="D82" s="213"/>
      <c r="E82" s="214"/>
      <c r="F82" s="214"/>
    </row>
    <row r="83">
      <c r="A83" s="83"/>
      <c r="B83" s="83"/>
      <c r="C83" s="214"/>
      <c r="D83" s="213"/>
      <c r="E83" s="214"/>
      <c r="F83" s="214"/>
    </row>
    <row r="84">
      <c r="A84" s="83"/>
      <c r="B84" s="83"/>
      <c r="C84" s="214"/>
      <c r="D84" s="213"/>
      <c r="E84" s="214"/>
      <c r="F84" s="214"/>
    </row>
    <row r="85">
      <c r="A85" s="83"/>
      <c r="B85" s="83"/>
      <c r="C85" s="214"/>
      <c r="D85" s="213"/>
      <c r="E85" s="214"/>
      <c r="F85" s="214"/>
    </row>
    <row r="86">
      <c r="A86" s="83"/>
      <c r="B86" s="83"/>
      <c r="C86" s="214"/>
      <c r="D86" s="213"/>
      <c r="E86" s="214"/>
      <c r="F86" s="214"/>
    </row>
    <row r="87">
      <c r="A87" s="83"/>
      <c r="B87" s="83"/>
      <c r="C87" s="214"/>
      <c r="D87" s="213"/>
      <c r="E87" s="214"/>
      <c r="F87" s="214"/>
    </row>
    <row r="88">
      <c r="A88" s="83"/>
      <c r="B88" s="83"/>
      <c r="C88" s="214"/>
      <c r="D88" s="213"/>
      <c r="E88" s="214"/>
      <c r="F88" s="214"/>
    </row>
    <row r="89">
      <c r="A89" s="83"/>
      <c r="B89" s="83"/>
      <c r="C89" s="214"/>
      <c r="D89" s="213"/>
      <c r="E89" s="214"/>
      <c r="F89" s="214"/>
    </row>
    <row r="90">
      <c r="A90" s="83"/>
      <c r="B90" s="83"/>
      <c r="C90" s="214"/>
      <c r="D90" s="213"/>
      <c r="E90" s="214"/>
      <c r="F90" s="214"/>
    </row>
    <row r="91">
      <c r="A91" s="83"/>
      <c r="B91" s="83"/>
      <c r="C91" s="214"/>
      <c r="D91" s="213"/>
      <c r="E91" s="214"/>
      <c r="F91" s="214"/>
    </row>
    <row r="92">
      <c r="A92" s="83"/>
      <c r="B92" s="83"/>
      <c r="C92" s="214"/>
      <c r="D92" s="213"/>
      <c r="E92" s="214"/>
      <c r="F92" s="214"/>
    </row>
    <row r="93">
      <c r="A93" s="83"/>
      <c r="B93" s="83"/>
      <c r="C93" s="214"/>
      <c r="D93" s="213"/>
      <c r="E93" s="214"/>
      <c r="F93" s="214"/>
    </row>
    <row r="94">
      <c r="A94" s="83"/>
      <c r="B94" s="83"/>
      <c r="C94" s="214"/>
      <c r="D94" s="213"/>
      <c r="E94" s="214"/>
      <c r="F94" s="214"/>
    </row>
    <row r="95">
      <c r="A95" s="83"/>
      <c r="B95" s="83"/>
      <c r="C95" s="214"/>
      <c r="D95" s="213"/>
      <c r="E95" s="214"/>
      <c r="F95" s="214"/>
    </row>
    <row r="96">
      <c r="A96" s="83"/>
      <c r="B96" s="83"/>
      <c r="C96" s="214"/>
      <c r="D96" s="213"/>
      <c r="E96" s="214"/>
      <c r="F96" s="214"/>
    </row>
    <row r="97">
      <c r="A97" s="83"/>
      <c r="B97" s="83"/>
      <c r="C97" s="214"/>
      <c r="D97" s="213"/>
      <c r="E97" s="214"/>
      <c r="F97" s="214"/>
    </row>
    <row r="98">
      <c r="A98" s="83"/>
      <c r="B98" s="83"/>
      <c r="C98" s="214"/>
      <c r="D98" s="213"/>
      <c r="E98" s="214"/>
      <c r="F98" s="214"/>
    </row>
    <row r="99">
      <c r="A99" s="83"/>
      <c r="B99" s="83"/>
      <c r="C99" s="214"/>
      <c r="D99" s="213"/>
      <c r="E99" s="214"/>
      <c r="F99" s="214"/>
    </row>
    <row r="100">
      <c r="A100" s="83"/>
      <c r="B100" s="83"/>
      <c r="C100" s="214"/>
      <c r="D100" s="213"/>
      <c r="E100" s="214"/>
      <c r="F100" s="214"/>
    </row>
    <row r="101">
      <c r="A101" s="83"/>
      <c r="B101" s="83"/>
      <c r="C101" s="214"/>
      <c r="D101" s="213"/>
      <c r="E101" s="214"/>
      <c r="F101" s="214"/>
    </row>
    <row r="102">
      <c r="A102" s="83"/>
      <c r="B102" s="83"/>
      <c r="C102" s="214"/>
      <c r="D102" s="213"/>
      <c r="E102" s="214"/>
      <c r="F102" s="214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1.63"/>
    <col customWidth="1" min="4" max="4" width="29.0"/>
    <col customWidth="1" hidden="1" min="5" max="6" width="18.88"/>
  </cols>
  <sheetData>
    <row r="1">
      <c r="A1" s="217" t="str">
        <f>IFERROR(__xludf.DUMMYFUNCTION("importrange(""https://docs.google.com/spreadsheets/d/1lLUezGr04gttZmCjozdXOUr60iM6OX1ezrYWKwC1J1g/edit?gid=1274817499#gid=1274817499"",""500!A:E"")"),"500 Form Result - 양식 결과")</f>
        <v>500 Form Result - 양식 결과</v>
      </c>
      <c r="F1" s="254"/>
    </row>
    <row r="2">
      <c r="A2" s="255" t="str">
        <f>IFERROR(__xludf.DUMMYFUNCTION("""COMPUTED_VALUE"""),"Timestamp")</f>
        <v>Timestamp</v>
      </c>
      <c r="B2" s="256" t="str">
        <f>IFERROR(__xludf.DUMMYFUNCTION("""COMPUTED_VALUE"""),"1. Penalty &amp; Bonus Staff")</f>
        <v>1. Penalty &amp; Bonus Staff</v>
      </c>
      <c r="C2" s="257" t="str">
        <f>IFERROR(__xludf.DUMMYFUNCTION("""COMPUTED_VALUE"""),"2. Reason - 이유:")</f>
        <v>2. Reason - 이유:</v>
      </c>
      <c r="D2" s="257" t="str">
        <f>IFERROR(__xludf.DUMMYFUNCTION("""COMPUTED_VALUE"""),"3. Penalty Point (-) / Bonus Point (+) ")</f>
        <v>3. Penalty Point (-) / Bonus Point (+) </v>
      </c>
      <c r="E2" s="257" t="str">
        <f>IFERROR(__xludf.DUMMYFUNCTION("""COMPUTED_VALUE"""),"4. Note - 노트")</f>
        <v>4. Note - 노트</v>
      </c>
      <c r="F2" s="257"/>
    </row>
    <row r="3" hidden="1">
      <c r="A3" s="221">
        <f>IFERROR(__xludf.DUMMYFUNCTION("""COMPUTED_VALUE"""),44977.36938184028)</f>
        <v>44977.36938</v>
      </c>
      <c r="B3" s="197" t="str">
        <f>IFERROR(__xludf.DUMMYFUNCTION("""COMPUTED_VALUE"""),"GROUP - 500 - Van")</f>
        <v>GROUP - 500 - Van</v>
      </c>
      <c r="C3" s="197" t="str">
        <f>IFERROR(__xludf.DUMMYFUNCTION("""COMPUTED_VALUE"""),"Hoàn thành tốt công việc dự án Hàn Việt")</f>
        <v>Hoàn thành tốt công việc dự án Hàn Việt</v>
      </c>
      <c r="D3" s="197">
        <f>IFERROR(__xludf.DUMMYFUNCTION("""COMPUTED_VALUE"""),2.0)</f>
        <v>2</v>
      </c>
      <c r="E3" s="197"/>
    </row>
    <row r="4" hidden="1">
      <c r="A4" s="221">
        <f>IFERROR(__xludf.DUMMYFUNCTION("""COMPUTED_VALUE"""),45285.71114905093)</f>
        <v>45285.71115</v>
      </c>
      <c r="B4" s="197" t="str">
        <f>IFERROR(__xludf.DUMMYFUNCTION("""COMPUTED_VALUE"""),"GROUP - 500 - Ngat")</f>
        <v>GROUP - 500 - Ngat</v>
      </c>
      <c r="C4" s="197" t="str">
        <f>IFERROR(__xludf.DUMMYFUNCTION("""COMPUTED_VALUE"""),"Dự toán Hùng Vương")</f>
        <v>Dự toán Hùng Vương</v>
      </c>
      <c r="D4" s="197">
        <f>IFERROR(__xludf.DUMMYFUNCTION("""COMPUTED_VALUE"""),2.0)</f>
        <v>2</v>
      </c>
      <c r="E4" s="197"/>
    </row>
    <row r="5" hidden="1">
      <c r="A5" s="221">
        <f>IFERROR(__xludf.DUMMYFUNCTION("""COMPUTED_VALUE"""),45285.71162207176)</f>
        <v>45285.71162</v>
      </c>
      <c r="B5" s="197" t="str">
        <f>IFERROR(__xludf.DUMMYFUNCTION("""COMPUTED_VALUE"""),"GROUP - 500 - Duong")</f>
        <v>GROUP - 500 - Duong</v>
      </c>
      <c r="C5" s="197" t="str">
        <f>IFERROR(__xludf.DUMMYFUNCTION("""COMPUTED_VALUE"""),"Dự toán Hùng Vương")</f>
        <v>Dự toán Hùng Vương</v>
      </c>
      <c r="D5" s="197">
        <f>IFERROR(__xludf.DUMMYFUNCTION("""COMPUTED_VALUE"""),2.0)</f>
        <v>2</v>
      </c>
      <c r="E5" s="197"/>
    </row>
    <row r="6">
      <c r="A6" s="222">
        <f>IFERROR(__xludf.DUMMYFUNCTION("""COMPUTED_VALUE"""),45989.4707477662)</f>
        <v>45989.47075</v>
      </c>
      <c r="B6" s="248" t="str">
        <f>IFERROR(__xludf.DUMMYFUNCTION("""COMPUTED_VALUE"""),"GROUP - 500 - Ngat")</f>
        <v>GROUP - 500 - Ngat</v>
      </c>
      <c r="C6" s="250" t="str">
        <f>IFERROR(__xludf.DUMMYFUNCTION("""COMPUTED_VALUE"""),"Bóc khối lượng ngoài nhà dự án DongYang, và tổng mức đầu tư dự án Hoàng Xá")</f>
        <v>Bóc khối lượng ngoài nhà dự án DongYang, và tổng mức đầu tư dự án Hoàng Xá</v>
      </c>
      <c r="D6" s="215">
        <f>IFERROR(__xludf.DUMMYFUNCTION("""COMPUTED_VALUE"""),2.0)</f>
        <v>2</v>
      </c>
      <c r="E6" s="214"/>
      <c r="F6" s="214"/>
    </row>
    <row r="7">
      <c r="A7" s="222">
        <f>IFERROR(__xludf.DUMMYFUNCTION("""COMPUTED_VALUE"""),45995.58286756944)</f>
        <v>45995.58287</v>
      </c>
      <c r="B7" s="248" t="str">
        <f>IFERROR(__xludf.DUMMYFUNCTION("""COMPUTED_VALUE"""),"500.Quyen")</f>
        <v>500.Quyen</v>
      </c>
      <c r="C7" s="248" t="str">
        <f>IFERROR(__xludf.DUMMYFUNCTION("""COMPUTED_VALUE"""),"Hoàn thành dự toán Hạ tầng kỹ thuật của Đào Tấn và Minh Giang")</f>
        <v>Hoàn thành dự toán Hạ tầng kỹ thuật của Đào Tấn và Minh Giang</v>
      </c>
      <c r="D7" s="258">
        <f>IFERROR(__xludf.DUMMYFUNCTION("""COMPUTED_VALUE"""),2.0)</f>
        <v>2</v>
      </c>
      <c r="E7" s="83"/>
      <c r="F7" s="83"/>
    </row>
    <row r="8">
      <c r="A8" s="222">
        <f>IFERROR(__xludf.DUMMYFUNCTION("""COMPUTED_VALUE"""),46146.61935841435)</f>
        <v>46146.61936</v>
      </c>
      <c r="B8" s="248" t="str">
        <f>IFERROR(__xludf.DUMMYFUNCTION("""COMPUTED_VALUE"""),"500.Quyen")</f>
        <v>500.Quyen</v>
      </c>
      <c r="C8" s="248" t="str">
        <f>IFERROR(__xludf.DUMMYFUNCTION("""COMPUTED_VALUE"""),"Hoàn thành dự toán bản vẽ thi công Trung Liên lần 1")</f>
        <v>Hoàn thành dự toán bản vẽ thi công Trung Liên lần 1</v>
      </c>
      <c r="D8" s="258">
        <f>IFERROR(__xludf.DUMMYFUNCTION("""COMPUTED_VALUE"""),3.0)</f>
        <v>3</v>
      </c>
      <c r="E8" s="248"/>
      <c r="F8" s="223"/>
    </row>
    <row r="9">
      <c r="A9" s="222">
        <f>IFERROR(__xludf.DUMMYFUNCTION("""COMPUTED_VALUE"""),46146.62000097222)</f>
        <v>46146.62</v>
      </c>
      <c r="B9" s="223" t="str">
        <f>IFERROR(__xludf.DUMMYFUNCTION("""COMPUTED_VALUE"""),"500.Quyen")</f>
        <v>500.Quyen</v>
      </c>
      <c r="C9" s="250" t="str">
        <f>IFERROR(__xludf.DUMMYFUNCTION("""COMPUTED_VALUE"""),"Hoàn thành dự toán bản vẽ thi công nhà ở  New Land Đào Tấn")</f>
        <v>Hoàn thành dự toán bản vẽ thi công nhà ở  New Land Đào Tấn</v>
      </c>
      <c r="D9" s="215">
        <f>IFERROR(__xludf.DUMMYFUNCTION("""COMPUTED_VALUE"""),3.0)</f>
        <v>3</v>
      </c>
      <c r="E9" s="214"/>
      <c r="F9" s="214"/>
    </row>
    <row r="10">
      <c r="A10" s="222">
        <f>IFERROR(__xludf.DUMMYFUNCTION("""COMPUTED_VALUE"""),46197.0)</f>
        <v>46197</v>
      </c>
      <c r="B10" s="223" t="str">
        <f>IFERROR(__xludf.DUMMYFUNCTION("""COMPUTED_VALUE"""),"500.Thao")</f>
        <v>500.Thao</v>
      </c>
      <c r="C10" s="250" t="str">
        <f>IFERROR(__xludf.DUMMYFUNCTION("""COMPUTED_VALUE"""),"Hoàn thành báo cáo ứng dụng AI trong công việc QS")</f>
        <v>Hoàn thành báo cáo ứng dụng AI trong công việc QS</v>
      </c>
      <c r="D10" s="215">
        <f>IFERROR(__xludf.DUMMYFUNCTION("""COMPUTED_VALUE"""),1.0)</f>
        <v>1</v>
      </c>
      <c r="E10" s="214"/>
      <c r="F10" s="214"/>
    </row>
    <row r="11">
      <c r="A11" s="252">
        <f>IFERROR(__xludf.DUMMYFUNCTION("""COMPUTED_VALUE"""),46197.0)</f>
        <v>46197</v>
      </c>
      <c r="B11" s="83" t="str">
        <f>IFERROR(__xludf.DUMMYFUNCTION("""COMPUTED_VALUE"""),"500.Giang")</f>
        <v>500.Giang</v>
      </c>
      <c r="C11" s="214" t="str">
        <f>IFERROR(__xludf.DUMMYFUNCTION("""COMPUTED_VALUE"""),"hoàn thành báo cáo ứng dụng AI trong công việc QS")</f>
        <v>hoàn thành báo cáo ứng dụng AI trong công việc QS</v>
      </c>
      <c r="D11" s="213">
        <f>IFERROR(__xludf.DUMMYFUNCTION("""COMPUTED_VALUE"""),1.0)</f>
        <v>1</v>
      </c>
      <c r="E11" s="214"/>
      <c r="F11" s="214"/>
    </row>
    <row r="12">
      <c r="A12" s="252">
        <f>IFERROR(__xludf.DUMMYFUNCTION("""COMPUTED_VALUE"""),46197.0)</f>
        <v>46197</v>
      </c>
      <c r="B12" s="83" t="str">
        <f>IFERROR(__xludf.DUMMYFUNCTION("""COMPUTED_VALUE"""),"500.Quyen")</f>
        <v>500.Quyen</v>
      </c>
      <c r="C12" s="214" t="str">
        <f>IFERROR(__xludf.DUMMYFUNCTION("""COMPUTED_VALUE"""),"hoàn thành báo cáo ứng dụng AI trong công việc QS")</f>
        <v>hoàn thành báo cáo ứng dụng AI trong công việc QS</v>
      </c>
      <c r="D12" s="213">
        <f>IFERROR(__xludf.DUMMYFUNCTION("""COMPUTED_VALUE"""),1.0)</f>
        <v>1</v>
      </c>
      <c r="E12" s="214"/>
      <c r="F12" s="214"/>
    </row>
    <row r="13">
      <c r="A13" s="252">
        <f>IFERROR(__xludf.DUMMYFUNCTION("""COMPUTED_VALUE"""),46197.0)</f>
        <v>46197</v>
      </c>
      <c r="B13" s="83" t="str">
        <f>IFERROR(__xludf.DUMMYFUNCTION("""COMPUTED_VALUE"""),"500.Thao")</f>
        <v>500.Thao</v>
      </c>
      <c r="C13" s="214" t="str">
        <f>IFERROR(__xludf.DUMMYFUNCTION("""COMPUTED_VALUE"""),"lỗi dự toán Hoàng Xá")</f>
        <v>lỗi dự toán Hoàng Xá</v>
      </c>
      <c r="D13" s="213">
        <f>IFERROR(__xludf.DUMMYFUNCTION("""COMPUTED_VALUE"""),-1.0)</f>
        <v>-1</v>
      </c>
      <c r="E13" s="214"/>
      <c r="F13" s="214"/>
    </row>
    <row r="14">
      <c r="A14" s="83"/>
      <c r="B14" s="83"/>
      <c r="C14" s="214"/>
      <c r="D14" s="213"/>
      <c r="E14" s="214"/>
      <c r="F14" s="214"/>
    </row>
    <row r="15">
      <c r="A15" s="83"/>
      <c r="B15" s="83"/>
      <c r="C15" s="214"/>
      <c r="D15" s="213"/>
      <c r="E15" s="214"/>
      <c r="F15" s="214"/>
    </row>
    <row r="16">
      <c r="A16" s="83"/>
      <c r="B16" s="83"/>
      <c r="C16" s="214"/>
      <c r="D16" s="213"/>
      <c r="E16" s="214"/>
      <c r="F16" s="214"/>
    </row>
    <row r="17">
      <c r="A17" s="83"/>
      <c r="B17" s="83"/>
      <c r="C17" s="214"/>
      <c r="D17" s="213"/>
      <c r="E17" s="214"/>
      <c r="F17" s="214"/>
    </row>
    <row r="18">
      <c r="A18" s="83"/>
      <c r="B18" s="83"/>
      <c r="C18" s="214"/>
      <c r="D18" s="213"/>
      <c r="E18" s="214"/>
      <c r="F18" s="214"/>
    </row>
    <row r="19">
      <c r="A19" s="83"/>
      <c r="B19" s="83"/>
      <c r="C19" s="214"/>
      <c r="D19" s="213"/>
      <c r="E19" s="214"/>
      <c r="F19" s="214"/>
    </row>
    <row r="20">
      <c r="A20" s="83"/>
      <c r="B20" s="83"/>
      <c r="C20" s="214"/>
      <c r="D20" s="213"/>
      <c r="E20" s="214"/>
      <c r="F20" s="214"/>
    </row>
    <row r="21">
      <c r="A21" s="83"/>
      <c r="B21" s="83"/>
      <c r="C21" s="214"/>
      <c r="D21" s="213"/>
      <c r="E21" s="214"/>
      <c r="F21" s="214"/>
    </row>
    <row r="22">
      <c r="A22" s="83"/>
      <c r="B22" s="83"/>
      <c r="C22" s="214"/>
      <c r="D22" s="213"/>
      <c r="E22" s="214"/>
      <c r="F22" s="214"/>
    </row>
    <row r="23">
      <c r="A23" s="83"/>
      <c r="B23" s="83"/>
      <c r="C23" s="214"/>
      <c r="D23" s="213"/>
      <c r="E23" s="214"/>
      <c r="F23" s="214"/>
    </row>
    <row r="24">
      <c r="A24" s="83"/>
      <c r="B24" s="83"/>
      <c r="C24" s="214"/>
      <c r="D24" s="213"/>
      <c r="E24" s="214"/>
      <c r="F24" s="214"/>
    </row>
    <row r="25">
      <c r="A25" s="83"/>
      <c r="B25" s="83"/>
      <c r="C25" s="214"/>
      <c r="D25" s="213"/>
      <c r="E25" s="214"/>
      <c r="F25" s="214"/>
    </row>
    <row r="26">
      <c r="A26" s="83"/>
      <c r="B26" s="83"/>
      <c r="C26" s="214"/>
      <c r="D26" s="213"/>
      <c r="E26" s="214"/>
      <c r="F26" s="214"/>
    </row>
    <row r="27">
      <c r="A27" s="83"/>
      <c r="B27" s="83"/>
      <c r="C27" s="214"/>
      <c r="D27" s="213"/>
      <c r="E27" s="214"/>
      <c r="F27" s="214"/>
    </row>
    <row r="28">
      <c r="A28" s="83"/>
      <c r="B28" s="83"/>
      <c r="C28" s="214"/>
      <c r="D28" s="213"/>
      <c r="E28" s="214"/>
      <c r="F28" s="214"/>
    </row>
    <row r="29">
      <c r="A29" s="83"/>
      <c r="B29" s="83"/>
      <c r="C29" s="214"/>
      <c r="D29" s="213"/>
      <c r="E29" s="214"/>
      <c r="F29" s="214"/>
    </row>
    <row r="30">
      <c r="A30" s="83"/>
      <c r="B30" s="83"/>
      <c r="C30" s="214"/>
      <c r="D30" s="213"/>
      <c r="E30" s="214"/>
      <c r="F30" s="214"/>
    </row>
    <row r="31">
      <c r="A31" s="83"/>
      <c r="B31" s="83"/>
      <c r="C31" s="214"/>
      <c r="D31" s="213"/>
      <c r="E31" s="214"/>
      <c r="F31" s="214"/>
    </row>
    <row r="32">
      <c r="A32" s="83"/>
      <c r="B32" s="83"/>
      <c r="C32" s="214"/>
      <c r="D32" s="213"/>
      <c r="E32" s="214"/>
      <c r="F32" s="214"/>
    </row>
    <row r="33">
      <c r="A33" s="83"/>
      <c r="B33" s="83"/>
      <c r="C33" s="214"/>
      <c r="D33" s="213"/>
      <c r="E33" s="214"/>
      <c r="F33" s="214"/>
    </row>
    <row r="34">
      <c r="A34" s="83"/>
      <c r="B34" s="83"/>
      <c r="C34" s="214"/>
      <c r="D34" s="213"/>
      <c r="E34" s="214"/>
      <c r="F34" s="214"/>
    </row>
    <row r="35">
      <c r="A35" s="83"/>
      <c r="B35" s="83"/>
      <c r="C35" s="214"/>
      <c r="D35" s="213"/>
      <c r="E35" s="214"/>
      <c r="F35" s="214"/>
    </row>
    <row r="36">
      <c r="A36" s="83"/>
      <c r="B36" s="83"/>
      <c r="C36" s="214"/>
      <c r="D36" s="213"/>
      <c r="E36" s="214"/>
      <c r="F36" s="214"/>
    </row>
    <row r="37">
      <c r="A37" s="83"/>
      <c r="B37" s="83"/>
      <c r="C37" s="214"/>
      <c r="D37" s="213"/>
      <c r="E37" s="214"/>
      <c r="F37" s="214"/>
    </row>
    <row r="38">
      <c r="A38" s="83"/>
      <c r="B38" s="83"/>
      <c r="C38" s="214"/>
      <c r="D38" s="213"/>
      <c r="E38" s="214"/>
      <c r="F38" s="214"/>
    </row>
    <row r="39">
      <c r="A39" s="83"/>
      <c r="B39" s="83"/>
      <c r="C39" s="214"/>
      <c r="D39" s="213"/>
      <c r="E39" s="214"/>
      <c r="F39" s="214"/>
    </row>
    <row r="40">
      <c r="A40" s="83"/>
      <c r="B40" s="83"/>
      <c r="C40" s="214"/>
      <c r="D40" s="213"/>
      <c r="E40" s="214"/>
      <c r="F40" s="214"/>
    </row>
    <row r="41">
      <c r="A41" s="83"/>
      <c r="B41" s="83"/>
      <c r="C41" s="214"/>
      <c r="D41" s="213"/>
      <c r="E41" s="214"/>
      <c r="F41" s="214"/>
    </row>
    <row r="42">
      <c r="A42" s="83"/>
      <c r="B42" s="83"/>
      <c r="C42" s="214"/>
      <c r="D42" s="213"/>
      <c r="E42" s="214"/>
      <c r="F42" s="214"/>
    </row>
    <row r="43">
      <c r="A43" s="83"/>
      <c r="B43" s="83"/>
      <c r="C43" s="214"/>
      <c r="D43" s="213"/>
      <c r="E43" s="214"/>
      <c r="F43" s="214"/>
    </row>
    <row r="44">
      <c r="A44" s="83"/>
      <c r="B44" s="83"/>
      <c r="C44" s="214"/>
      <c r="D44" s="213"/>
      <c r="E44" s="214"/>
      <c r="F44" s="214"/>
    </row>
    <row r="45">
      <c r="A45" s="83"/>
      <c r="B45" s="83"/>
      <c r="C45" s="214"/>
      <c r="D45" s="213"/>
      <c r="E45" s="214"/>
      <c r="F45" s="214"/>
    </row>
    <row r="46">
      <c r="A46" s="83"/>
      <c r="B46" s="83"/>
      <c r="C46" s="214"/>
      <c r="D46" s="213"/>
      <c r="E46" s="214"/>
      <c r="F46" s="214"/>
    </row>
    <row r="47">
      <c r="A47" s="83"/>
      <c r="B47" s="83"/>
      <c r="C47" s="214"/>
      <c r="D47" s="213"/>
      <c r="E47" s="214"/>
      <c r="F47" s="214"/>
    </row>
    <row r="48">
      <c r="A48" s="83"/>
      <c r="B48" s="83"/>
      <c r="C48" s="214"/>
      <c r="D48" s="213"/>
      <c r="E48" s="214"/>
      <c r="F48" s="214"/>
    </row>
    <row r="49">
      <c r="A49" s="83"/>
      <c r="B49" s="83"/>
      <c r="C49" s="214"/>
      <c r="D49" s="213"/>
      <c r="E49" s="214"/>
      <c r="F49" s="214"/>
    </row>
    <row r="50">
      <c r="A50" s="83"/>
      <c r="B50" s="83"/>
      <c r="C50" s="214"/>
      <c r="D50" s="213"/>
      <c r="E50" s="214"/>
      <c r="F50" s="214"/>
    </row>
    <row r="51">
      <c r="A51" s="83"/>
      <c r="B51" s="83"/>
      <c r="C51" s="214"/>
      <c r="D51" s="213"/>
      <c r="E51" s="214"/>
      <c r="F51" s="214"/>
    </row>
    <row r="52">
      <c r="A52" s="83"/>
      <c r="B52" s="83"/>
      <c r="C52" s="214"/>
      <c r="D52" s="213"/>
      <c r="E52" s="214"/>
      <c r="F52" s="214"/>
    </row>
    <row r="53">
      <c r="A53" s="83"/>
      <c r="B53" s="83"/>
      <c r="C53" s="214"/>
      <c r="D53" s="213"/>
      <c r="E53" s="214"/>
      <c r="F53" s="214"/>
    </row>
    <row r="54">
      <c r="A54" s="83"/>
      <c r="B54" s="83"/>
      <c r="C54" s="214"/>
      <c r="D54" s="213"/>
      <c r="E54" s="214"/>
      <c r="F54" s="214"/>
    </row>
    <row r="55">
      <c r="A55" s="83"/>
      <c r="B55" s="83"/>
      <c r="C55" s="214"/>
      <c r="D55" s="213"/>
      <c r="E55" s="214"/>
      <c r="F55" s="214"/>
    </row>
    <row r="56">
      <c r="A56" s="83"/>
      <c r="B56" s="83"/>
      <c r="C56" s="214"/>
      <c r="D56" s="213"/>
      <c r="E56" s="214"/>
      <c r="F56" s="214"/>
    </row>
    <row r="57">
      <c r="A57" s="83"/>
      <c r="B57" s="83"/>
      <c r="C57" s="214"/>
      <c r="D57" s="213"/>
      <c r="E57" s="214"/>
      <c r="F57" s="214"/>
    </row>
    <row r="58">
      <c r="A58" s="83"/>
      <c r="B58" s="83"/>
      <c r="C58" s="214"/>
      <c r="D58" s="213"/>
      <c r="E58" s="214"/>
      <c r="F58" s="214"/>
    </row>
    <row r="59">
      <c r="A59" s="83"/>
      <c r="B59" s="83"/>
      <c r="C59" s="214"/>
      <c r="D59" s="213"/>
      <c r="E59" s="214"/>
      <c r="F59" s="214"/>
    </row>
    <row r="60">
      <c r="A60" s="83"/>
      <c r="B60" s="83"/>
      <c r="C60" s="214"/>
      <c r="D60" s="213"/>
      <c r="E60" s="214"/>
      <c r="F60" s="214"/>
    </row>
    <row r="61">
      <c r="A61" s="83"/>
      <c r="B61" s="83"/>
      <c r="C61" s="214"/>
      <c r="D61" s="213"/>
      <c r="E61" s="214"/>
      <c r="F61" s="214"/>
    </row>
    <row r="62">
      <c r="A62" s="83"/>
      <c r="B62" s="83"/>
      <c r="C62" s="214"/>
      <c r="D62" s="213"/>
      <c r="E62" s="214"/>
      <c r="F62" s="214"/>
    </row>
    <row r="63">
      <c r="A63" s="83"/>
      <c r="B63" s="83"/>
      <c r="C63" s="214"/>
      <c r="D63" s="213"/>
      <c r="E63" s="214"/>
      <c r="F63" s="214"/>
    </row>
    <row r="64">
      <c r="A64" s="83"/>
      <c r="B64" s="83"/>
      <c r="C64" s="214"/>
      <c r="D64" s="213"/>
      <c r="E64" s="214"/>
      <c r="F64" s="214"/>
    </row>
    <row r="65">
      <c r="A65" s="83"/>
      <c r="B65" s="83"/>
      <c r="C65" s="214"/>
      <c r="D65" s="213"/>
      <c r="E65" s="214"/>
      <c r="F65" s="214"/>
    </row>
    <row r="66">
      <c r="A66" s="83"/>
      <c r="B66" s="83"/>
      <c r="C66" s="214"/>
      <c r="D66" s="213"/>
      <c r="E66" s="214"/>
      <c r="F66" s="214"/>
    </row>
    <row r="67">
      <c r="A67" s="83"/>
      <c r="B67" s="83"/>
      <c r="C67" s="214"/>
      <c r="D67" s="213"/>
      <c r="E67" s="214"/>
      <c r="F67" s="214"/>
    </row>
    <row r="68">
      <c r="A68" s="83"/>
      <c r="B68" s="83"/>
      <c r="C68" s="214"/>
      <c r="D68" s="213"/>
      <c r="E68" s="214"/>
      <c r="F68" s="214"/>
    </row>
    <row r="69">
      <c r="A69" s="83"/>
      <c r="B69" s="83"/>
      <c r="C69" s="214"/>
      <c r="D69" s="213"/>
      <c r="E69" s="214"/>
      <c r="F69" s="214"/>
    </row>
    <row r="70">
      <c r="A70" s="83"/>
      <c r="B70" s="83"/>
      <c r="C70" s="214"/>
      <c r="D70" s="213"/>
      <c r="E70" s="214"/>
      <c r="F70" s="214"/>
    </row>
    <row r="71">
      <c r="A71" s="83"/>
      <c r="B71" s="83"/>
      <c r="C71" s="214"/>
      <c r="D71" s="213"/>
      <c r="E71" s="214"/>
      <c r="F71" s="214"/>
    </row>
    <row r="72">
      <c r="A72" s="83"/>
      <c r="B72" s="83"/>
      <c r="C72" s="214"/>
      <c r="D72" s="213"/>
      <c r="E72" s="214"/>
      <c r="F72" s="214"/>
    </row>
    <row r="73">
      <c r="A73" s="83"/>
      <c r="B73" s="83"/>
      <c r="C73" s="214"/>
      <c r="D73" s="213"/>
      <c r="E73" s="214"/>
      <c r="F73" s="214"/>
    </row>
    <row r="74">
      <c r="A74" s="83"/>
      <c r="B74" s="83"/>
      <c r="C74" s="214"/>
      <c r="D74" s="213"/>
      <c r="E74" s="214"/>
      <c r="F74" s="214"/>
    </row>
    <row r="75">
      <c r="A75" s="83"/>
      <c r="B75" s="83"/>
      <c r="C75" s="214"/>
      <c r="D75" s="213"/>
      <c r="E75" s="214"/>
      <c r="F75" s="214"/>
    </row>
    <row r="76">
      <c r="A76" s="83"/>
      <c r="B76" s="83"/>
      <c r="C76" s="214"/>
      <c r="D76" s="213"/>
      <c r="E76" s="214"/>
      <c r="F76" s="214"/>
    </row>
    <row r="77">
      <c r="A77" s="83"/>
      <c r="B77" s="83"/>
      <c r="C77" s="214"/>
      <c r="D77" s="213"/>
      <c r="E77" s="214"/>
      <c r="F77" s="214"/>
    </row>
    <row r="78">
      <c r="A78" s="83"/>
      <c r="B78" s="83"/>
      <c r="C78" s="214"/>
      <c r="D78" s="213"/>
      <c r="E78" s="214"/>
      <c r="F78" s="214"/>
    </row>
    <row r="79">
      <c r="A79" s="83"/>
      <c r="B79" s="83"/>
      <c r="C79" s="214"/>
      <c r="D79" s="213"/>
      <c r="E79" s="214"/>
      <c r="F79" s="214"/>
    </row>
    <row r="80">
      <c r="A80" s="83"/>
      <c r="B80" s="83"/>
      <c r="C80" s="214"/>
      <c r="D80" s="213"/>
      <c r="E80" s="214"/>
      <c r="F80" s="214"/>
    </row>
    <row r="81">
      <c r="A81" s="83"/>
      <c r="B81" s="83"/>
      <c r="C81" s="214"/>
      <c r="D81" s="213"/>
      <c r="E81" s="214"/>
      <c r="F81" s="214"/>
    </row>
    <row r="82">
      <c r="A82" s="83"/>
      <c r="B82" s="83"/>
      <c r="C82" s="214"/>
      <c r="D82" s="213"/>
      <c r="E82" s="214"/>
      <c r="F82" s="214"/>
    </row>
    <row r="83">
      <c r="A83" s="83"/>
      <c r="B83" s="83"/>
      <c r="C83" s="214"/>
      <c r="D83" s="213"/>
      <c r="E83" s="214"/>
      <c r="F83" s="214"/>
    </row>
    <row r="84">
      <c r="A84" s="83"/>
      <c r="B84" s="83"/>
      <c r="C84" s="214"/>
      <c r="D84" s="213"/>
      <c r="E84" s="214"/>
      <c r="F84" s="214"/>
    </row>
    <row r="85">
      <c r="A85" s="83"/>
      <c r="B85" s="83"/>
      <c r="C85" s="214"/>
      <c r="D85" s="213"/>
      <c r="E85" s="214"/>
      <c r="F85" s="214"/>
    </row>
    <row r="86">
      <c r="A86" s="83"/>
      <c r="B86" s="83"/>
      <c r="C86" s="214"/>
      <c r="D86" s="213"/>
      <c r="E86" s="214"/>
      <c r="F86" s="214"/>
    </row>
    <row r="87">
      <c r="A87" s="83"/>
      <c r="B87" s="83"/>
      <c r="C87" s="214"/>
      <c r="D87" s="213"/>
      <c r="E87" s="214"/>
      <c r="F87" s="214"/>
    </row>
    <row r="88">
      <c r="A88" s="83"/>
      <c r="B88" s="83"/>
      <c r="C88" s="214"/>
      <c r="D88" s="213"/>
      <c r="E88" s="214"/>
      <c r="F88" s="214"/>
    </row>
    <row r="89">
      <c r="A89" s="83"/>
      <c r="B89" s="83"/>
      <c r="C89" s="214"/>
      <c r="D89" s="213"/>
      <c r="E89" s="214"/>
      <c r="F89" s="214"/>
    </row>
    <row r="90">
      <c r="A90" s="83"/>
      <c r="B90" s="83"/>
      <c r="C90" s="214"/>
      <c r="D90" s="213"/>
      <c r="E90" s="214"/>
      <c r="F90" s="214"/>
    </row>
    <row r="91">
      <c r="A91" s="83"/>
      <c r="B91" s="83"/>
      <c r="C91" s="214"/>
      <c r="D91" s="213"/>
      <c r="E91" s="214"/>
      <c r="F91" s="214"/>
    </row>
    <row r="92">
      <c r="A92" s="83"/>
      <c r="B92" s="83"/>
      <c r="C92" s="214"/>
      <c r="D92" s="213"/>
      <c r="E92" s="214"/>
      <c r="F92" s="214"/>
    </row>
    <row r="93">
      <c r="A93" s="83"/>
      <c r="B93" s="83"/>
      <c r="C93" s="214"/>
      <c r="D93" s="213"/>
      <c r="E93" s="214"/>
      <c r="F93" s="214"/>
    </row>
    <row r="94">
      <c r="A94" s="83"/>
      <c r="B94" s="83"/>
      <c r="C94" s="214"/>
      <c r="D94" s="213"/>
      <c r="E94" s="214"/>
      <c r="F94" s="214"/>
    </row>
    <row r="95">
      <c r="A95" s="83"/>
      <c r="B95" s="83"/>
      <c r="C95" s="214"/>
      <c r="D95" s="213"/>
      <c r="E95" s="214"/>
      <c r="F95" s="214"/>
    </row>
    <row r="96">
      <c r="A96" s="83"/>
      <c r="B96" s="83"/>
      <c r="C96" s="214"/>
      <c r="D96" s="213"/>
      <c r="E96" s="214"/>
      <c r="F96" s="214"/>
    </row>
    <row r="97">
      <c r="A97" s="83"/>
      <c r="B97" s="83"/>
      <c r="C97" s="214"/>
      <c r="D97" s="213"/>
      <c r="E97" s="214"/>
      <c r="F97" s="214"/>
    </row>
    <row r="98">
      <c r="A98" s="83"/>
      <c r="B98" s="83"/>
      <c r="C98" s="214"/>
      <c r="D98" s="213"/>
      <c r="E98" s="214"/>
      <c r="F98" s="214"/>
    </row>
    <row r="99">
      <c r="A99" s="83"/>
      <c r="B99" s="83"/>
      <c r="C99" s="214"/>
      <c r="D99" s="213"/>
      <c r="E99" s="214"/>
      <c r="F99" s="214"/>
    </row>
    <row r="100">
      <c r="A100" s="83"/>
      <c r="B100" s="83"/>
      <c r="C100" s="214"/>
      <c r="D100" s="213"/>
      <c r="E100" s="214"/>
      <c r="F100" s="214"/>
    </row>
    <row r="101">
      <c r="A101" s="83"/>
      <c r="B101" s="83"/>
      <c r="C101" s="214"/>
      <c r="D101" s="213"/>
      <c r="E101" s="214"/>
      <c r="F101" s="214"/>
    </row>
    <row r="102">
      <c r="A102" s="83"/>
      <c r="B102" s="83"/>
      <c r="C102" s="214"/>
      <c r="D102" s="213"/>
      <c r="E102" s="214"/>
      <c r="F102" s="214"/>
    </row>
  </sheetData>
  <mergeCells count="1">
    <mergeCell ref="A1:E1"/>
  </mergeCells>
  <conditionalFormatting sqref="A6:F102">
    <cfRule type="notContainsBlanks" dxfId="0" priority="1">
      <formula>LEN(TRIM(A6))&gt;0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2.75"/>
    <col customWidth="1" min="3" max="3" width="28.75"/>
    <col customWidth="1" min="4" max="4" width="2.75"/>
    <col customWidth="1" min="5" max="5" width="10.25"/>
    <col customWidth="1" min="6" max="6" width="26.63"/>
    <col customWidth="1" min="7" max="7" width="7.88"/>
    <col customWidth="1" min="8" max="8" width="6.13"/>
    <col customWidth="1" min="9" max="9" width="11.38"/>
    <col customWidth="1" min="10" max="10" width="10.25"/>
    <col customWidth="1" min="11" max="11" width="10.13"/>
    <col customWidth="1" min="12" max="12" width="14.25"/>
    <col customWidth="1" min="13" max="13" width="2.5"/>
    <col customWidth="1" min="14" max="14" width="3.25"/>
    <col customWidth="1" min="15" max="15" width="3.38"/>
  </cols>
  <sheetData>
    <row r="1">
      <c r="A1" s="259"/>
      <c r="B1" s="260"/>
      <c r="C1" s="261"/>
      <c r="D1" s="261"/>
      <c r="E1" s="262"/>
      <c r="F1" s="263"/>
      <c r="G1" s="264"/>
      <c r="H1" s="265"/>
      <c r="I1" s="266"/>
      <c r="J1" s="267" t="s">
        <v>169</v>
      </c>
      <c r="K1" s="268" t="s">
        <v>170</v>
      </c>
      <c r="L1" s="269" t="str">
        <f>HYPERLINK("https://docs.google.com/forms/d/e/1FAIpQLSeXEHEHPdeTN61FNuxgufEnjW6pM7TDb3pcJOfAaFfyey69aA/viewform","🎁ADDStore")</f>
        <v>🎁ADDStore</v>
      </c>
      <c r="M1" s="270"/>
      <c r="N1" s="271"/>
      <c r="O1" s="266"/>
    </row>
    <row r="2">
      <c r="A2" s="272"/>
      <c r="B2" s="273" t="s">
        <v>38</v>
      </c>
      <c r="O2" s="272"/>
    </row>
    <row r="3" ht="8.25" customHeight="1">
      <c r="A3" s="274"/>
      <c r="B3" s="275"/>
      <c r="C3" s="274"/>
      <c r="D3" s="275"/>
      <c r="E3" s="272"/>
      <c r="F3" s="276"/>
      <c r="G3" s="277"/>
      <c r="H3" s="278"/>
      <c r="I3" s="278"/>
      <c r="J3" s="277"/>
      <c r="K3" s="279"/>
      <c r="L3" s="272"/>
      <c r="M3" s="274"/>
      <c r="N3" s="274"/>
      <c r="O3" s="274"/>
    </row>
    <row r="4">
      <c r="A4" s="274"/>
      <c r="B4" s="280"/>
      <c r="C4" s="281"/>
      <c r="D4" s="282"/>
      <c r="E4" s="281"/>
      <c r="F4" s="283"/>
      <c r="G4" s="281"/>
      <c r="H4" s="281"/>
      <c r="I4" s="281"/>
      <c r="J4" s="281"/>
      <c r="K4" s="281"/>
      <c r="L4" s="281"/>
      <c r="M4" s="281"/>
      <c r="N4" s="284"/>
      <c r="O4" s="274"/>
    </row>
    <row r="5">
      <c r="A5" s="274"/>
      <c r="B5" s="285"/>
      <c r="C5" s="286"/>
      <c r="D5" s="287" t="s">
        <v>171</v>
      </c>
      <c r="E5" s="288" t="s">
        <v>172</v>
      </c>
      <c r="F5" s="289" t="s">
        <v>46</v>
      </c>
      <c r="G5" s="290"/>
      <c r="J5" s="291"/>
      <c r="L5" s="292"/>
      <c r="M5" s="293"/>
      <c r="N5" s="294"/>
      <c r="O5" s="274"/>
    </row>
    <row r="6">
      <c r="A6" s="272"/>
      <c r="B6" s="295">
        <v>1.0</v>
      </c>
      <c r="D6" s="296" t="s">
        <v>173</v>
      </c>
      <c r="E6" s="297" t="s">
        <v>174</v>
      </c>
      <c r="F6" s="289" t="s">
        <v>5</v>
      </c>
      <c r="J6" s="291" t="s">
        <v>175</v>
      </c>
      <c r="L6" s="298" t="s">
        <v>176</v>
      </c>
      <c r="M6" s="180"/>
      <c r="N6" s="294"/>
      <c r="O6" s="272"/>
    </row>
    <row r="7">
      <c r="A7" s="272"/>
      <c r="B7" s="295">
        <v>1.0</v>
      </c>
      <c r="C7" s="299" t="str">
        <f t="shared" ref="C7:C11" si="1">E7&amp;$F$6</f>
        <v>Full Name:Trang.600</v>
      </c>
      <c r="D7" s="296" t="s">
        <v>177</v>
      </c>
      <c r="E7" s="297" t="s">
        <v>178</v>
      </c>
      <c r="F7" s="289" t="s">
        <v>137</v>
      </c>
      <c r="J7" s="291" t="s">
        <v>179</v>
      </c>
      <c r="L7" s="298" t="s">
        <v>180</v>
      </c>
      <c r="M7" s="180"/>
      <c r="N7" s="294"/>
      <c r="O7" s="272"/>
    </row>
    <row r="8">
      <c r="A8" s="279"/>
      <c r="B8" s="295">
        <v>1.0</v>
      </c>
      <c r="C8" s="299" t="str">
        <f t="shared" si="1"/>
        <v>Position:Trang.600</v>
      </c>
      <c r="D8" s="296" t="s">
        <v>181</v>
      </c>
      <c r="E8" s="297" t="s">
        <v>182</v>
      </c>
      <c r="F8" s="289" t="s">
        <v>183</v>
      </c>
      <c r="J8" s="291" t="s">
        <v>184</v>
      </c>
      <c r="L8" s="298" t="s">
        <v>180</v>
      </c>
      <c r="M8" s="180"/>
      <c r="N8" s="294"/>
      <c r="O8" s="279"/>
    </row>
    <row r="9">
      <c r="A9" s="279"/>
      <c r="B9" s="295">
        <v>1.0</v>
      </c>
      <c r="C9" s="299" t="str">
        <f t="shared" si="1"/>
        <v>Birth:Trang.600</v>
      </c>
      <c r="D9" s="296" t="s">
        <v>185</v>
      </c>
      <c r="E9" s="297" t="s">
        <v>186</v>
      </c>
      <c r="F9" s="289" t="s">
        <v>187</v>
      </c>
      <c r="J9" s="300"/>
      <c r="K9" s="301"/>
      <c r="L9" s="301"/>
      <c r="M9" s="302"/>
      <c r="N9" s="294"/>
      <c r="O9" s="279"/>
    </row>
    <row r="10">
      <c r="A10" s="277"/>
      <c r="B10" s="295">
        <v>1.0</v>
      </c>
      <c r="C10" s="299" t="str">
        <f t="shared" si="1"/>
        <v>Experience:Trang.600</v>
      </c>
      <c r="D10" s="296" t="s">
        <v>188</v>
      </c>
      <c r="E10" s="297" t="s">
        <v>189</v>
      </c>
      <c r="F10" s="289" t="s">
        <v>190</v>
      </c>
      <c r="J10" s="303"/>
      <c r="K10" s="301"/>
      <c r="L10" s="301"/>
      <c r="M10" s="302"/>
      <c r="N10" s="294"/>
      <c r="O10" s="277"/>
    </row>
    <row r="11">
      <c r="A11" s="277"/>
      <c r="B11" s="304"/>
      <c r="C11" s="305" t="str">
        <f t="shared" si="1"/>
        <v>Quote:Trang.600</v>
      </c>
      <c r="D11" s="306" t="s">
        <v>191</v>
      </c>
      <c r="E11" s="307" t="s">
        <v>192</v>
      </c>
      <c r="F11" s="308" t="s">
        <v>193</v>
      </c>
      <c r="J11" s="303"/>
      <c r="K11" s="301"/>
      <c r="L11" s="301"/>
      <c r="M11" s="302"/>
      <c r="N11" s="294"/>
      <c r="O11" s="277"/>
    </row>
    <row r="12" ht="21.0" customHeight="1">
      <c r="A12" s="274"/>
      <c r="B12" s="304"/>
      <c r="C12" s="305"/>
      <c r="J12" s="303"/>
      <c r="K12" s="301"/>
      <c r="L12" s="301"/>
      <c r="M12" s="180"/>
      <c r="N12" s="294"/>
      <c r="O12" s="274"/>
    </row>
    <row r="13" ht="24.0" customHeight="1">
      <c r="A13" s="274"/>
      <c r="B13" s="285"/>
      <c r="C13" s="286"/>
      <c r="G13" s="300" t="str">
        <f>If(H13&gt;=0,"🔴","💣")</f>
        <v>🔴</v>
      </c>
      <c r="H13" s="309">
        <f>if(F6="...",0,vlookup(F6,Summary!$E:$V,18,false))</f>
        <v>0</v>
      </c>
      <c r="J13" s="303"/>
      <c r="K13" s="180"/>
      <c r="L13" s="180"/>
      <c r="M13" s="180"/>
      <c r="N13" s="294"/>
      <c r="O13" s="274"/>
    </row>
    <row r="14" ht="19.5" customHeight="1">
      <c r="A14" s="272"/>
      <c r="B14" s="285"/>
      <c r="C14" s="286" t="str">
        <f>G14&amp;F6</f>
        <v>❤️️Trang.600</v>
      </c>
      <c r="D14" s="310"/>
      <c r="E14" s="311"/>
      <c r="F14" s="312"/>
      <c r="G14" s="300" t="s">
        <v>194</v>
      </c>
      <c r="H14" s="309">
        <f>sumif(L17:L30,"complete",K17:K30)</f>
        <v>0</v>
      </c>
      <c r="J14" s="299"/>
      <c r="K14" s="299"/>
      <c r="L14" s="180"/>
      <c r="M14" s="180"/>
      <c r="N14" s="294"/>
      <c r="O14" s="272"/>
    </row>
    <row r="15" ht="9.75" customHeight="1">
      <c r="A15" s="272"/>
      <c r="B15" s="313"/>
      <c r="C15" s="303"/>
      <c r="D15" s="314"/>
      <c r="E15" s="303"/>
      <c r="F15" s="315"/>
      <c r="G15" s="303"/>
      <c r="H15" s="303"/>
      <c r="I15" s="303"/>
      <c r="J15" s="303"/>
      <c r="K15" s="303"/>
      <c r="L15" s="316"/>
      <c r="M15" s="316"/>
      <c r="N15" s="294"/>
      <c r="O15" s="272"/>
    </row>
    <row r="16">
      <c r="A16" s="279"/>
      <c r="B16" s="317"/>
      <c r="C16" s="318"/>
      <c r="D16" s="319" t="s">
        <v>195</v>
      </c>
      <c r="E16" s="320"/>
      <c r="F16" s="320"/>
      <c r="G16" s="320"/>
      <c r="H16" s="320"/>
      <c r="I16" s="321" t="s">
        <v>196</v>
      </c>
      <c r="J16" s="322" t="s">
        <v>197</v>
      </c>
      <c r="K16" s="323" t="s">
        <v>198</v>
      </c>
      <c r="L16" s="324" t="s">
        <v>199</v>
      </c>
      <c r="N16" s="294"/>
      <c r="O16" s="279"/>
    </row>
    <row r="17">
      <c r="A17" s="279"/>
      <c r="B17" s="325" t="str">
        <f t="shared" ref="B17:B30" si="2">if(L17="complete","🏅",if(L17="fail","💢",))</f>
        <v/>
      </c>
      <c r="C17" s="180" t="str">
        <f>K17&amp;F6&amp;D17</f>
        <v>Trang.6001</v>
      </c>
      <c r="D17" s="326">
        <v>1.0</v>
      </c>
      <c r="E17" s="327"/>
      <c r="F17" s="328"/>
      <c r="G17" s="328"/>
      <c r="H17" s="328"/>
      <c r="I17" s="329"/>
      <c r="J17" s="330"/>
      <c r="K17" s="331"/>
      <c r="L17" s="332"/>
      <c r="N17" s="294"/>
      <c r="O17" s="279"/>
    </row>
    <row r="18">
      <c r="A18" s="277"/>
      <c r="B18" s="325" t="str">
        <f t="shared" si="2"/>
        <v/>
      </c>
      <c r="C18" s="180" t="str">
        <f>K18&amp;F6&amp;D18</f>
        <v>Trang.6002</v>
      </c>
      <c r="D18" s="326">
        <v>2.0</v>
      </c>
      <c r="E18" s="327"/>
      <c r="F18" s="328"/>
      <c r="G18" s="328"/>
      <c r="H18" s="328"/>
      <c r="I18" s="329"/>
      <c r="J18" s="330"/>
      <c r="K18" s="333"/>
      <c r="L18" s="332"/>
      <c r="N18" s="294"/>
      <c r="O18" s="277"/>
    </row>
    <row r="19">
      <c r="A19" s="277"/>
      <c r="B19" s="325" t="str">
        <f t="shared" si="2"/>
        <v/>
      </c>
      <c r="C19" s="180" t="str">
        <f>K19&amp;F6&amp;D19</f>
        <v>Trang.6003</v>
      </c>
      <c r="D19" s="326">
        <v>3.0</v>
      </c>
      <c r="E19" s="327"/>
      <c r="F19" s="328"/>
      <c r="G19" s="328"/>
      <c r="H19" s="328"/>
      <c r="I19" s="329"/>
      <c r="J19" s="330"/>
      <c r="K19" s="333"/>
      <c r="L19" s="332"/>
      <c r="N19" s="294"/>
      <c r="O19" s="277"/>
    </row>
    <row r="20">
      <c r="A20" s="278"/>
      <c r="B20" s="325" t="str">
        <f t="shared" si="2"/>
        <v/>
      </c>
      <c r="C20" s="180" t="str">
        <f>K20&amp;F6&amp;D20</f>
        <v>Trang.6004</v>
      </c>
      <c r="D20" s="326">
        <v>4.0</v>
      </c>
      <c r="E20" s="327"/>
      <c r="F20" s="328"/>
      <c r="G20" s="328"/>
      <c r="H20" s="328"/>
      <c r="I20" s="329"/>
      <c r="J20" s="330"/>
      <c r="K20" s="331"/>
      <c r="L20" s="332"/>
      <c r="N20" s="294"/>
      <c r="O20" s="278"/>
    </row>
    <row r="21">
      <c r="A21" s="278"/>
      <c r="B21" s="325" t="str">
        <f t="shared" si="2"/>
        <v/>
      </c>
      <c r="C21" s="180" t="str">
        <f>K21&amp;F6&amp;D21</f>
        <v>Trang.6005</v>
      </c>
      <c r="D21" s="326">
        <v>5.0</v>
      </c>
      <c r="E21" s="327"/>
      <c r="F21" s="328"/>
      <c r="G21" s="328"/>
      <c r="H21" s="328"/>
      <c r="I21" s="329"/>
      <c r="J21" s="330"/>
      <c r="K21" s="333"/>
      <c r="L21" s="329"/>
      <c r="N21" s="294"/>
      <c r="O21" s="278"/>
    </row>
    <row r="22">
      <c r="A22" s="279"/>
      <c r="B22" s="325" t="str">
        <f t="shared" si="2"/>
        <v/>
      </c>
      <c r="C22" s="180" t="str">
        <f>K22&amp;F6&amp;D22</f>
        <v>Trang.6006</v>
      </c>
      <c r="D22" s="326">
        <v>6.0</v>
      </c>
      <c r="E22" s="327"/>
      <c r="F22" s="328"/>
      <c r="G22" s="328"/>
      <c r="H22" s="328"/>
      <c r="I22" s="329"/>
      <c r="J22" s="330"/>
      <c r="K22" s="333"/>
      <c r="L22" s="329"/>
      <c r="N22" s="294"/>
      <c r="O22" s="279"/>
    </row>
    <row r="23">
      <c r="A23" s="279"/>
      <c r="B23" s="325" t="str">
        <f t="shared" si="2"/>
        <v/>
      </c>
      <c r="C23" s="180" t="str">
        <f>K23&amp;F6&amp;D23</f>
        <v>Trang.6007</v>
      </c>
      <c r="D23" s="326">
        <v>7.0</v>
      </c>
      <c r="E23" s="327"/>
      <c r="F23" s="328"/>
      <c r="G23" s="328"/>
      <c r="H23" s="328"/>
      <c r="I23" s="329"/>
      <c r="J23" s="330"/>
      <c r="K23" s="333"/>
      <c r="L23" s="329"/>
      <c r="N23" s="294"/>
      <c r="O23" s="279"/>
    </row>
    <row r="24">
      <c r="A24" s="274"/>
      <c r="B24" s="325" t="str">
        <f t="shared" si="2"/>
        <v/>
      </c>
      <c r="C24" s="180" t="str">
        <f>K24&amp;F6&amp;D24</f>
        <v>Trang.6008</v>
      </c>
      <c r="D24" s="326">
        <v>8.0</v>
      </c>
      <c r="E24" s="327"/>
      <c r="F24" s="328"/>
      <c r="G24" s="328"/>
      <c r="H24" s="328"/>
      <c r="I24" s="329"/>
      <c r="J24" s="330"/>
      <c r="K24" s="333"/>
      <c r="L24" s="329"/>
      <c r="N24" s="294"/>
      <c r="O24" s="274"/>
    </row>
    <row r="25">
      <c r="A25" s="274"/>
      <c r="B25" s="325" t="str">
        <f t="shared" si="2"/>
        <v/>
      </c>
      <c r="C25" s="180" t="str">
        <f>K25&amp;F6&amp;D25</f>
        <v>Trang.6009</v>
      </c>
      <c r="D25" s="326">
        <v>9.0</v>
      </c>
      <c r="E25" s="327"/>
      <c r="F25" s="328"/>
      <c r="G25" s="328"/>
      <c r="H25" s="328"/>
      <c r="I25" s="329"/>
      <c r="J25" s="330"/>
      <c r="K25" s="333"/>
      <c r="L25" s="329"/>
      <c r="N25" s="294"/>
      <c r="O25" s="274"/>
    </row>
    <row r="26">
      <c r="A26" s="272"/>
      <c r="B26" s="325" t="str">
        <f t="shared" si="2"/>
        <v/>
      </c>
      <c r="C26" s="180" t="str">
        <f>K26&amp;F6&amp;D26</f>
        <v>Trang.60010</v>
      </c>
      <c r="D26" s="326">
        <v>10.0</v>
      </c>
      <c r="E26" s="327"/>
      <c r="F26" s="328"/>
      <c r="G26" s="328"/>
      <c r="H26" s="328"/>
      <c r="I26" s="329"/>
      <c r="J26" s="330"/>
      <c r="K26" s="333"/>
      <c r="L26" s="329"/>
      <c r="N26" s="294"/>
      <c r="O26" s="272"/>
    </row>
    <row r="27">
      <c r="A27" s="272"/>
      <c r="B27" s="325" t="str">
        <f t="shared" si="2"/>
        <v/>
      </c>
      <c r="C27" s="180" t="str">
        <f>K27&amp;F6&amp;D27</f>
        <v>Trang.60011</v>
      </c>
      <c r="D27" s="326">
        <v>11.0</v>
      </c>
      <c r="E27" s="327"/>
      <c r="F27" s="328"/>
      <c r="G27" s="328"/>
      <c r="H27" s="328"/>
      <c r="I27" s="329"/>
      <c r="J27" s="330"/>
      <c r="K27" s="333"/>
      <c r="L27" s="329"/>
      <c r="N27" s="294"/>
      <c r="O27" s="272"/>
    </row>
    <row r="28">
      <c r="A28" s="279"/>
      <c r="B28" s="325" t="str">
        <f t="shared" si="2"/>
        <v/>
      </c>
      <c r="C28" s="180" t="str">
        <f>K28&amp;F6&amp;D28</f>
        <v>Trang.60012</v>
      </c>
      <c r="D28" s="326">
        <v>12.0</v>
      </c>
      <c r="E28" s="327"/>
      <c r="F28" s="328"/>
      <c r="G28" s="328"/>
      <c r="H28" s="328"/>
      <c r="I28" s="329"/>
      <c r="J28" s="330"/>
      <c r="K28" s="333"/>
      <c r="L28" s="329"/>
      <c r="N28" s="294"/>
      <c r="O28" s="279"/>
    </row>
    <row r="29">
      <c r="A29" s="279"/>
      <c r="B29" s="325" t="str">
        <f t="shared" si="2"/>
        <v/>
      </c>
      <c r="C29" s="180" t="str">
        <f>K29&amp;F6&amp;D29</f>
        <v>Trang.60013</v>
      </c>
      <c r="D29" s="326">
        <v>13.0</v>
      </c>
      <c r="E29" s="327"/>
      <c r="F29" s="328"/>
      <c r="G29" s="328"/>
      <c r="H29" s="328"/>
      <c r="I29" s="329"/>
      <c r="J29" s="330"/>
      <c r="K29" s="333"/>
      <c r="L29" s="329"/>
      <c r="N29" s="294"/>
      <c r="O29" s="279"/>
    </row>
    <row r="30">
      <c r="A30" s="277"/>
      <c r="B30" s="325" t="str">
        <f t="shared" si="2"/>
        <v/>
      </c>
      <c r="C30" s="180" t="str">
        <f>K30&amp;F6&amp;D30</f>
        <v>Trang.60014</v>
      </c>
      <c r="D30" s="326">
        <v>14.0</v>
      </c>
      <c r="E30" s="327"/>
      <c r="F30" s="328"/>
      <c r="G30" s="328"/>
      <c r="H30" s="328"/>
      <c r="I30" s="329"/>
      <c r="J30" s="330"/>
      <c r="K30" s="333"/>
      <c r="L30" s="329"/>
      <c r="N30" s="294"/>
      <c r="O30" s="277"/>
    </row>
    <row r="31">
      <c r="A31" s="277"/>
      <c r="B31" s="334"/>
      <c r="C31" s="335"/>
      <c r="D31" s="336"/>
      <c r="E31" s="335"/>
      <c r="F31" s="337"/>
      <c r="G31" s="335"/>
      <c r="H31" s="335"/>
      <c r="I31" s="335"/>
      <c r="J31" s="335"/>
      <c r="K31" s="335"/>
      <c r="L31" s="335"/>
      <c r="M31" s="335"/>
      <c r="N31" s="338"/>
      <c r="O31" s="277"/>
    </row>
    <row r="32">
      <c r="A32" s="272"/>
      <c r="B32" s="339"/>
      <c r="D32" s="339"/>
      <c r="F32" s="340"/>
      <c r="O32" s="272"/>
    </row>
    <row r="33" ht="9.0" customHeight="1">
      <c r="A33" s="274"/>
      <c r="B33" s="275"/>
      <c r="C33" s="274"/>
      <c r="D33" s="275"/>
      <c r="E33" s="272"/>
      <c r="F33" s="276"/>
      <c r="G33" s="277"/>
      <c r="H33" s="278"/>
      <c r="I33" s="278"/>
      <c r="J33" s="277"/>
      <c r="K33" s="279"/>
      <c r="L33" s="272"/>
      <c r="M33" s="274"/>
      <c r="N33" s="274"/>
      <c r="O33" s="274"/>
    </row>
    <row r="34">
      <c r="A34" s="274"/>
      <c r="B34" s="341"/>
      <c r="C34" s="342"/>
      <c r="D34" s="343"/>
      <c r="E34" s="342"/>
      <c r="F34" s="344"/>
      <c r="G34" s="342"/>
      <c r="H34" s="342"/>
      <c r="I34" s="342"/>
      <c r="J34" s="342"/>
      <c r="K34" s="342"/>
      <c r="L34" s="342"/>
      <c r="M34" s="342"/>
      <c r="N34" s="345"/>
      <c r="O34" s="274"/>
    </row>
    <row r="35">
      <c r="A35" s="274"/>
      <c r="B35" s="346">
        <v>1.0</v>
      </c>
      <c r="D35" s="287" t="s">
        <v>171</v>
      </c>
      <c r="E35" s="347" t="s">
        <v>172</v>
      </c>
      <c r="F35" s="289" t="s">
        <v>118</v>
      </c>
      <c r="G35" s="290"/>
      <c r="J35" s="291"/>
      <c r="N35" s="348"/>
      <c r="O35" s="274"/>
    </row>
    <row r="36">
      <c r="A36" s="272"/>
      <c r="B36" s="346">
        <v>1.0</v>
      </c>
      <c r="C36" s="202" t="str">
        <f t="shared" ref="C36:C41" si="3">E36&amp;$F$36</f>
        <v>Nick Name:Tam.500</v>
      </c>
      <c r="D36" s="349" t="s">
        <v>173</v>
      </c>
      <c r="E36" s="347" t="s">
        <v>174</v>
      </c>
      <c r="F36" s="289" t="s">
        <v>25</v>
      </c>
      <c r="J36" s="291" t="s">
        <v>175</v>
      </c>
      <c r="L36" s="298" t="s">
        <v>200</v>
      </c>
      <c r="N36" s="348"/>
      <c r="O36" s="272"/>
    </row>
    <row r="37">
      <c r="A37" s="272"/>
      <c r="B37" s="346">
        <v>1.0</v>
      </c>
      <c r="C37" s="202" t="str">
        <f t="shared" si="3"/>
        <v>Full Name:Tam.500</v>
      </c>
      <c r="D37" s="349" t="s">
        <v>177</v>
      </c>
      <c r="E37" s="347" t="s">
        <v>178</v>
      </c>
      <c r="F37" s="289" t="s">
        <v>201</v>
      </c>
      <c r="J37" s="291" t="s">
        <v>179</v>
      </c>
      <c r="L37" s="298" t="s">
        <v>200</v>
      </c>
      <c r="N37" s="348"/>
      <c r="O37" s="272"/>
    </row>
    <row r="38">
      <c r="A38" s="279"/>
      <c r="B38" s="346">
        <v>1.0</v>
      </c>
      <c r="C38" s="202" t="str">
        <f t="shared" si="3"/>
        <v>Position:Tam.500</v>
      </c>
      <c r="D38" s="349" t="s">
        <v>181</v>
      </c>
      <c r="E38" s="347" t="s">
        <v>182</v>
      </c>
      <c r="F38" s="289" t="s">
        <v>202</v>
      </c>
      <c r="J38" s="291" t="s">
        <v>184</v>
      </c>
      <c r="L38" s="298" t="s">
        <v>200</v>
      </c>
      <c r="N38" s="348"/>
      <c r="O38" s="279"/>
    </row>
    <row r="39">
      <c r="A39" s="279"/>
      <c r="B39" s="346">
        <v>1.0</v>
      </c>
      <c r="C39" s="202" t="str">
        <f t="shared" si="3"/>
        <v>Birth:Tam.500</v>
      </c>
      <c r="D39" s="349" t="s">
        <v>185</v>
      </c>
      <c r="E39" s="347" t="s">
        <v>186</v>
      </c>
      <c r="F39" s="350"/>
      <c r="J39" s="351"/>
      <c r="K39" s="352"/>
      <c r="L39" s="352"/>
      <c r="M39" s="352"/>
      <c r="N39" s="348"/>
      <c r="O39" s="279"/>
    </row>
    <row r="40">
      <c r="A40" s="277"/>
      <c r="B40" s="346"/>
      <c r="C40" s="202" t="str">
        <f t="shared" si="3"/>
        <v>Experience:Tam.500</v>
      </c>
      <c r="D40" s="349" t="s">
        <v>188</v>
      </c>
      <c r="E40" s="347" t="s">
        <v>189</v>
      </c>
      <c r="F40" s="289"/>
      <c r="J40" s="318"/>
      <c r="K40" s="352"/>
      <c r="L40" s="352"/>
      <c r="M40" s="352"/>
      <c r="N40" s="348"/>
      <c r="O40" s="277"/>
    </row>
    <row r="41">
      <c r="A41" s="277"/>
      <c r="B41" s="346"/>
      <c r="C41" s="202" t="str">
        <f t="shared" si="3"/>
        <v>Quote:Tam.500</v>
      </c>
      <c r="D41" s="353" t="s">
        <v>191</v>
      </c>
      <c r="E41" s="354" t="s">
        <v>192</v>
      </c>
      <c r="F41" s="355" t="s">
        <v>203</v>
      </c>
      <c r="J41" s="318"/>
      <c r="K41" s="352"/>
      <c r="L41" s="352"/>
      <c r="M41" s="352"/>
      <c r="N41" s="348"/>
      <c r="O41" s="277"/>
    </row>
    <row r="42">
      <c r="A42" s="274"/>
      <c r="B42" s="346"/>
      <c r="C42" s="202"/>
      <c r="J42" s="318"/>
      <c r="K42" s="352"/>
      <c r="L42" s="352"/>
      <c r="N42" s="348"/>
      <c r="O42" s="274"/>
    </row>
    <row r="43">
      <c r="A43" s="274"/>
      <c r="B43" s="356"/>
      <c r="C43" s="202"/>
      <c r="G43" s="300" t="str">
        <f>If(H43&gt;=0,"🔴","💣")</f>
        <v>🔴</v>
      </c>
      <c r="H43" s="309">
        <f>if(F36="...",0,vlookup(F36,Summary!$E:$V,18,false))</f>
        <v>0</v>
      </c>
      <c r="J43" s="318"/>
      <c r="N43" s="348"/>
      <c r="O43" s="274"/>
    </row>
    <row r="44">
      <c r="A44" s="272"/>
      <c r="B44" s="356"/>
      <c r="C44" s="286" t="str">
        <f>G44&amp;F36</f>
        <v>❤️️Tam.500</v>
      </c>
      <c r="D44" s="357"/>
      <c r="E44" s="358"/>
      <c r="F44" s="359"/>
      <c r="G44" s="351" t="s">
        <v>194</v>
      </c>
      <c r="H44" s="309">
        <f>sumif(L47:L60,"complete",K47:K60)-vlookup(F36,ADDSTORE!$M$3:$O$38,3,false)</f>
        <v>0</v>
      </c>
      <c r="J44" s="360"/>
      <c r="K44" s="360"/>
      <c r="N44" s="348"/>
      <c r="O44" s="272"/>
    </row>
    <row r="45">
      <c r="A45" s="272"/>
      <c r="B45" s="317"/>
      <c r="C45" s="318"/>
      <c r="D45" s="361"/>
      <c r="E45" s="318"/>
      <c r="F45" s="362"/>
      <c r="G45" s="318"/>
      <c r="H45" s="318"/>
      <c r="I45" s="318"/>
      <c r="J45" s="318"/>
      <c r="K45" s="318"/>
      <c r="L45" s="363"/>
      <c r="M45" s="363"/>
      <c r="N45" s="348"/>
      <c r="O45" s="272"/>
    </row>
    <row r="46">
      <c r="A46" s="279"/>
      <c r="B46" s="317"/>
      <c r="C46" s="318"/>
      <c r="D46" s="319" t="s">
        <v>195</v>
      </c>
      <c r="E46" s="320"/>
      <c r="F46" s="320"/>
      <c r="G46" s="320"/>
      <c r="H46" s="320"/>
      <c r="I46" s="321" t="s">
        <v>196</v>
      </c>
      <c r="J46" s="322" t="s">
        <v>197</v>
      </c>
      <c r="K46" s="323" t="s">
        <v>198</v>
      </c>
      <c r="L46" s="322" t="s">
        <v>199</v>
      </c>
      <c r="N46" s="348"/>
      <c r="O46" s="279"/>
    </row>
    <row r="47">
      <c r="A47" s="279"/>
      <c r="B47" s="325" t="str">
        <f t="shared" ref="B47:B60" si="4">if(L47="complete","🏅",if(L47="fail","💢",))</f>
        <v/>
      </c>
      <c r="C47" s="180" t="str">
        <f>L47&amp;F36&amp;D47</f>
        <v>Tam.5001</v>
      </c>
      <c r="D47" s="326">
        <v>1.0</v>
      </c>
      <c r="E47" s="327"/>
      <c r="F47" s="328"/>
      <c r="G47" s="328"/>
      <c r="H47" s="328"/>
      <c r="I47" s="329"/>
      <c r="J47" s="364"/>
      <c r="K47" s="365"/>
      <c r="L47" s="364"/>
      <c r="N47" s="348"/>
      <c r="O47" s="279"/>
    </row>
    <row r="48">
      <c r="A48" s="277"/>
      <c r="B48" s="325" t="str">
        <f t="shared" si="4"/>
        <v/>
      </c>
      <c r="C48" s="180" t="str">
        <f>L48&amp;F36&amp;D48</f>
        <v>Tam.5002</v>
      </c>
      <c r="D48" s="326">
        <v>2.0</v>
      </c>
      <c r="E48" s="327"/>
      <c r="F48" s="328"/>
      <c r="G48" s="328"/>
      <c r="H48" s="328"/>
      <c r="I48" s="329"/>
      <c r="J48" s="330"/>
      <c r="K48" s="366"/>
      <c r="L48" s="364"/>
      <c r="N48" s="348"/>
      <c r="O48" s="277"/>
    </row>
    <row r="49">
      <c r="A49" s="277"/>
      <c r="B49" s="325" t="str">
        <f t="shared" si="4"/>
        <v/>
      </c>
      <c r="C49" s="180" t="str">
        <f>L49&amp;F36&amp;D49</f>
        <v>Tam.5003</v>
      </c>
      <c r="D49" s="326">
        <v>3.0</v>
      </c>
      <c r="E49" s="327"/>
      <c r="F49" s="328"/>
      <c r="G49" s="328"/>
      <c r="H49" s="328"/>
      <c r="I49" s="329"/>
      <c r="J49" s="330"/>
      <c r="K49" s="366"/>
      <c r="L49" s="364"/>
      <c r="N49" s="348"/>
      <c r="O49" s="277"/>
    </row>
    <row r="50">
      <c r="A50" s="278"/>
      <c r="B50" s="325" t="str">
        <f t="shared" si="4"/>
        <v/>
      </c>
      <c r="C50" s="180" t="str">
        <f>L50&amp;F36&amp;D50</f>
        <v>Tam.5004</v>
      </c>
      <c r="D50" s="326">
        <v>4.0</v>
      </c>
      <c r="E50" s="327"/>
      <c r="F50" s="328"/>
      <c r="G50" s="328"/>
      <c r="H50" s="328"/>
      <c r="I50" s="329"/>
      <c r="J50" s="330"/>
      <c r="K50" s="365"/>
      <c r="L50" s="364"/>
      <c r="N50" s="348"/>
      <c r="O50" s="278"/>
    </row>
    <row r="51">
      <c r="A51" s="278"/>
      <c r="B51" s="325" t="str">
        <f t="shared" si="4"/>
        <v/>
      </c>
      <c r="C51" s="180" t="str">
        <f>L51&amp;F36&amp;D51</f>
        <v>Tam.5005</v>
      </c>
      <c r="D51" s="326">
        <v>5.0</v>
      </c>
      <c r="E51" s="327"/>
      <c r="F51" s="328"/>
      <c r="G51" s="328"/>
      <c r="H51" s="328"/>
      <c r="I51" s="329"/>
      <c r="J51" s="330"/>
      <c r="K51" s="366"/>
      <c r="L51" s="364"/>
      <c r="N51" s="348"/>
      <c r="O51" s="278"/>
    </row>
    <row r="52">
      <c r="A52" s="279"/>
      <c r="B52" s="325" t="str">
        <f t="shared" si="4"/>
        <v/>
      </c>
      <c r="C52" s="180" t="str">
        <f>L52&amp;F36&amp;D52</f>
        <v>Tam.5006</v>
      </c>
      <c r="D52" s="326">
        <v>6.0</v>
      </c>
      <c r="E52" s="327"/>
      <c r="F52" s="328"/>
      <c r="G52" s="328"/>
      <c r="H52" s="328"/>
      <c r="I52" s="329"/>
      <c r="J52" s="330"/>
      <c r="K52" s="366"/>
      <c r="L52" s="364"/>
      <c r="N52" s="348"/>
      <c r="O52" s="279"/>
    </row>
    <row r="53">
      <c r="A53" s="279"/>
      <c r="B53" s="325" t="str">
        <f t="shared" si="4"/>
        <v/>
      </c>
      <c r="C53" s="180" t="str">
        <f>L53&amp;F36&amp;D53</f>
        <v>Tam.5007</v>
      </c>
      <c r="D53" s="326">
        <v>7.0</v>
      </c>
      <c r="E53" s="327"/>
      <c r="F53" s="328"/>
      <c r="G53" s="328"/>
      <c r="H53" s="328"/>
      <c r="I53" s="329"/>
      <c r="J53" s="330"/>
      <c r="K53" s="366"/>
      <c r="L53" s="364"/>
      <c r="N53" s="348"/>
      <c r="O53" s="279"/>
    </row>
    <row r="54">
      <c r="A54" s="274"/>
      <c r="B54" s="325" t="str">
        <f t="shared" si="4"/>
        <v/>
      </c>
      <c r="C54" s="180" t="str">
        <f>L54&amp;F36&amp;D54</f>
        <v>Tam.5008</v>
      </c>
      <c r="D54" s="326">
        <v>8.0</v>
      </c>
      <c r="E54" s="327"/>
      <c r="F54" s="328"/>
      <c r="G54" s="328"/>
      <c r="H54" s="328"/>
      <c r="I54" s="329"/>
      <c r="J54" s="330"/>
      <c r="K54" s="366"/>
      <c r="L54" s="364"/>
      <c r="N54" s="348"/>
      <c r="O54" s="274"/>
    </row>
    <row r="55">
      <c r="A55" s="274"/>
      <c r="B55" s="325" t="str">
        <f t="shared" si="4"/>
        <v/>
      </c>
      <c r="C55" s="180" t="str">
        <f>L55&amp;F36&amp;D55</f>
        <v>Tam.5009</v>
      </c>
      <c r="D55" s="326">
        <v>9.0</v>
      </c>
      <c r="E55" s="327"/>
      <c r="F55" s="328"/>
      <c r="G55" s="328"/>
      <c r="H55" s="328"/>
      <c r="I55" s="329"/>
      <c r="J55" s="330"/>
      <c r="K55" s="366"/>
      <c r="L55" s="364"/>
      <c r="N55" s="348"/>
      <c r="O55" s="274"/>
    </row>
    <row r="56">
      <c r="A56" s="272"/>
      <c r="B56" s="325" t="str">
        <f t="shared" si="4"/>
        <v/>
      </c>
      <c r="C56" s="180" t="str">
        <f>L56&amp;F36&amp;D56</f>
        <v>Tam.50010</v>
      </c>
      <c r="D56" s="326">
        <v>10.0</v>
      </c>
      <c r="E56" s="327"/>
      <c r="F56" s="328"/>
      <c r="G56" s="328"/>
      <c r="H56" s="328"/>
      <c r="I56" s="329"/>
      <c r="J56" s="330"/>
      <c r="K56" s="366"/>
      <c r="L56" s="364"/>
      <c r="N56" s="348"/>
      <c r="O56" s="272"/>
    </row>
    <row r="57">
      <c r="A57" s="272"/>
      <c r="B57" s="325" t="str">
        <f t="shared" si="4"/>
        <v/>
      </c>
      <c r="C57" s="180" t="str">
        <f>L57&amp;F36&amp;D57</f>
        <v>Tam.50011</v>
      </c>
      <c r="D57" s="326">
        <v>11.0</v>
      </c>
      <c r="E57" s="327"/>
      <c r="F57" s="328"/>
      <c r="G57" s="328"/>
      <c r="H57" s="328"/>
      <c r="I57" s="329"/>
      <c r="J57" s="330"/>
      <c r="K57" s="366"/>
      <c r="L57" s="364"/>
      <c r="N57" s="348"/>
      <c r="O57" s="272"/>
    </row>
    <row r="58">
      <c r="A58" s="279"/>
      <c r="B58" s="325" t="str">
        <f t="shared" si="4"/>
        <v/>
      </c>
      <c r="C58" s="180" t="str">
        <f>L58&amp;F36&amp;D58</f>
        <v>Tam.50012</v>
      </c>
      <c r="D58" s="326">
        <v>12.0</v>
      </c>
      <c r="E58" s="327"/>
      <c r="F58" s="328"/>
      <c r="G58" s="328"/>
      <c r="H58" s="328"/>
      <c r="I58" s="329"/>
      <c r="J58" s="330"/>
      <c r="K58" s="366"/>
      <c r="L58" s="364"/>
      <c r="N58" s="348"/>
      <c r="O58" s="279"/>
    </row>
    <row r="59">
      <c r="A59" s="279"/>
      <c r="B59" s="325" t="str">
        <f t="shared" si="4"/>
        <v/>
      </c>
      <c r="C59" s="180" t="str">
        <f>L59&amp;F36&amp;D59</f>
        <v>Tam.50013</v>
      </c>
      <c r="D59" s="326">
        <v>13.0</v>
      </c>
      <c r="E59" s="327"/>
      <c r="F59" s="328"/>
      <c r="G59" s="328"/>
      <c r="H59" s="328"/>
      <c r="I59" s="329"/>
      <c r="J59" s="330"/>
      <c r="K59" s="366"/>
      <c r="L59" s="364"/>
      <c r="N59" s="348"/>
      <c r="O59" s="279"/>
    </row>
    <row r="60">
      <c r="A60" s="277"/>
      <c r="B60" s="325" t="str">
        <f t="shared" si="4"/>
        <v/>
      </c>
      <c r="C60" s="180" t="str">
        <f>L60&amp;F36&amp;D60</f>
        <v>Tam.50014</v>
      </c>
      <c r="D60" s="326">
        <v>14.0</v>
      </c>
      <c r="E60" s="327"/>
      <c r="F60" s="328"/>
      <c r="G60" s="328"/>
      <c r="H60" s="328"/>
      <c r="I60" s="329"/>
      <c r="J60" s="330"/>
      <c r="K60" s="366"/>
      <c r="L60" s="364"/>
      <c r="N60" s="348"/>
      <c r="O60" s="277"/>
    </row>
    <row r="61">
      <c r="A61" s="277"/>
      <c r="B61" s="367"/>
      <c r="C61" s="368"/>
      <c r="D61" s="369"/>
      <c r="E61" s="368"/>
      <c r="F61" s="370"/>
      <c r="G61" s="368"/>
      <c r="H61" s="368"/>
      <c r="I61" s="368"/>
      <c r="J61" s="368"/>
      <c r="K61" s="368"/>
      <c r="L61" s="368"/>
      <c r="M61" s="368"/>
      <c r="N61" s="371"/>
      <c r="O61" s="277"/>
    </row>
    <row r="62">
      <c r="A62" s="278"/>
      <c r="B62" s="339"/>
      <c r="D62" s="339"/>
      <c r="F62" s="340"/>
      <c r="O62" s="278"/>
    </row>
    <row r="63" ht="9.0" customHeight="1">
      <c r="A63" s="274"/>
      <c r="B63" s="275"/>
      <c r="C63" s="274"/>
      <c r="D63" s="275"/>
      <c r="E63" s="272"/>
      <c r="F63" s="276"/>
      <c r="G63" s="277"/>
      <c r="H63" s="278"/>
      <c r="I63" s="278"/>
      <c r="J63" s="277"/>
      <c r="K63" s="279"/>
      <c r="L63" s="272"/>
      <c r="M63" s="274"/>
      <c r="N63" s="274"/>
      <c r="O63" s="274"/>
    </row>
    <row r="64">
      <c r="A64" s="274"/>
      <c r="B64" s="341"/>
      <c r="C64" s="342"/>
      <c r="D64" s="343"/>
      <c r="E64" s="342"/>
      <c r="F64" s="344"/>
      <c r="G64" s="342"/>
      <c r="H64" s="342"/>
      <c r="I64" s="342"/>
      <c r="J64" s="342"/>
      <c r="K64" s="342"/>
      <c r="L64" s="342"/>
      <c r="M64" s="342"/>
      <c r="N64" s="345"/>
      <c r="O64" s="274"/>
    </row>
    <row r="65">
      <c r="A65" s="274"/>
      <c r="B65" s="346">
        <v>1.0</v>
      </c>
      <c r="D65" s="287" t="s">
        <v>171</v>
      </c>
      <c r="E65" s="347" t="s">
        <v>172</v>
      </c>
      <c r="F65" s="289" t="s">
        <v>50</v>
      </c>
      <c r="G65" s="290"/>
      <c r="J65" s="291"/>
      <c r="N65" s="348"/>
      <c r="O65" s="274"/>
    </row>
    <row r="66">
      <c r="A66" s="272"/>
      <c r="B66" s="346">
        <v>1.0</v>
      </c>
      <c r="C66" s="202" t="str">
        <f t="shared" ref="C66:C71" si="5">E66&amp;$F$66</f>
        <v>Nick Name:Duong.600</v>
      </c>
      <c r="D66" s="349" t="s">
        <v>173</v>
      </c>
      <c r="E66" s="347" t="s">
        <v>174</v>
      </c>
      <c r="F66" s="289" t="s">
        <v>6</v>
      </c>
      <c r="J66" s="291" t="s">
        <v>175</v>
      </c>
      <c r="L66" s="298" t="s">
        <v>176</v>
      </c>
      <c r="N66" s="348"/>
      <c r="O66" s="272"/>
    </row>
    <row r="67">
      <c r="A67" s="272"/>
      <c r="B67" s="346">
        <v>1.0</v>
      </c>
      <c r="C67" s="202" t="str">
        <f t="shared" si="5"/>
        <v>Full Name:Duong.600</v>
      </c>
      <c r="D67" s="349" t="s">
        <v>177</v>
      </c>
      <c r="E67" s="347" t="s">
        <v>178</v>
      </c>
      <c r="F67" s="289" t="s">
        <v>138</v>
      </c>
      <c r="J67" s="291" t="s">
        <v>179</v>
      </c>
      <c r="L67" s="298" t="s">
        <v>200</v>
      </c>
      <c r="N67" s="348"/>
      <c r="O67" s="272"/>
    </row>
    <row r="68">
      <c r="A68" s="279"/>
      <c r="B68" s="346">
        <v>1.0</v>
      </c>
      <c r="C68" s="202" t="str">
        <f t="shared" si="5"/>
        <v>Position:Duong.600</v>
      </c>
      <c r="D68" s="349" t="s">
        <v>181</v>
      </c>
      <c r="E68" s="347" t="s">
        <v>182</v>
      </c>
      <c r="F68" s="289" t="s">
        <v>176</v>
      </c>
      <c r="J68" s="291" t="s">
        <v>184</v>
      </c>
      <c r="L68" s="298" t="s">
        <v>180</v>
      </c>
      <c r="N68" s="348"/>
      <c r="O68" s="279"/>
    </row>
    <row r="69">
      <c r="A69" s="279"/>
      <c r="B69" s="346">
        <v>1.0</v>
      </c>
      <c r="C69" s="202" t="str">
        <f t="shared" si="5"/>
        <v>Birth:Duong.600</v>
      </c>
      <c r="D69" s="349" t="s">
        <v>185</v>
      </c>
      <c r="E69" s="347" t="s">
        <v>186</v>
      </c>
      <c r="F69" s="289" t="s">
        <v>204</v>
      </c>
      <c r="J69" s="351"/>
      <c r="K69" s="352"/>
      <c r="L69" s="352"/>
      <c r="M69" s="352"/>
      <c r="N69" s="348"/>
      <c r="O69" s="279"/>
    </row>
    <row r="70">
      <c r="A70" s="277"/>
      <c r="B70" s="346">
        <v>1.0</v>
      </c>
      <c r="C70" s="202" t="str">
        <f t="shared" si="5"/>
        <v>Experience:Duong.600</v>
      </c>
      <c r="D70" s="349" t="s">
        <v>188</v>
      </c>
      <c r="E70" s="347" t="s">
        <v>189</v>
      </c>
      <c r="F70" s="289" t="s">
        <v>205</v>
      </c>
      <c r="J70" s="318"/>
      <c r="K70" s="352"/>
      <c r="L70" s="352"/>
      <c r="M70" s="352"/>
      <c r="N70" s="348"/>
      <c r="O70" s="277"/>
    </row>
    <row r="71">
      <c r="A71" s="277"/>
      <c r="B71" s="346"/>
      <c r="C71" s="202" t="str">
        <f t="shared" si="5"/>
        <v>Quote:Duong.600</v>
      </c>
      <c r="D71" s="349" t="s">
        <v>191</v>
      </c>
      <c r="E71" s="354" t="s">
        <v>192</v>
      </c>
      <c r="F71" s="308" t="s">
        <v>206</v>
      </c>
      <c r="J71" s="318"/>
      <c r="K71" s="352"/>
      <c r="L71" s="352"/>
      <c r="M71" s="352"/>
      <c r="N71" s="348"/>
      <c r="O71" s="277"/>
    </row>
    <row r="72">
      <c r="A72" s="274"/>
      <c r="B72" s="346"/>
      <c r="D72" s="339"/>
      <c r="J72" s="318"/>
      <c r="K72" s="352"/>
      <c r="L72" s="352"/>
      <c r="N72" s="348"/>
      <c r="O72" s="274"/>
    </row>
    <row r="73">
      <c r="A73" s="274"/>
      <c r="B73" s="356"/>
      <c r="C73" s="360"/>
      <c r="D73" s="349"/>
      <c r="G73" s="300" t="str">
        <f>If(H73&gt;=0,"🔴","💣")</f>
        <v>🔴</v>
      </c>
      <c r="H73" s="309">
        <f>if(F66="...",0,vlookup(F66,Summary!$E:$V,18,false))</f>
        <v>0</v>
      </c>
      <c r="J73" s="318"/>
      <c r="N73" s="348"/>
      <c r="O73" s="274"/>
    </row>
    <row r="74">
      <c r="A74" s="272"/>
      <c r="B74" s="356"/>
      <c r="C74" s="286" t="str">
        <f>G74&amp;F66</f>
        <v>❤️️Duong.600</v>
      </c>
      <c r="D74" s="357"/>
      <c r="E74" s="358"/>
      <c r="F74" s="359"/>
      <c r="G74" s="351" t="s">
        <v>194</v>
      </c>
      <c r="H74" s="309">
        <f>sumif(L77:L90,"complete",K77:K90)-vlookup(F66,ADDSTORE!$M$3:$O$38,3,false)</f>
        <v>0</v>
      </c>
      <c r="J74" s="360"/>
      <c r="K74" s="360"/>
      <c r="N74" s="348"/>
      <c r="O74" s="272"/>
    </row>
    <row r="75">
      <c r="A75" s="272"/>
      <c r="B75" s="317"/>
      <c r="C75" s="318"/>
      <c r="D75" s="361"/>
      <c r="E75" s="318"/>
      <c r="F75" s="362"/>
      <c r="G75" s="318"/>
      <c r="H75" s="318"/>
      <c r="I75" s="318"/>
      <c r="J75" s="318"/>
      <c r="K75" s="318"/>
      <c r="L75" s="363"/>
      <c r="M75" s="363"/>
      <c r="N75" s="348"/>
      <c r="O75" s="272"/>
    </row>
    <row r="76">
      <c r="A76" s="279"/>
      <c r="B76" s="317"/>
      <c r="C76" s="318"/>
      <c r="D76" s="319" t="s">
        <v>195</v>
      </c>
      <c r="E76" s="320"/>
      <c r="F76" s="320"/>
      <c r="G76" s="320"/>
      <c r="H76" s="320"/>
      <c r="I76" s="321" t="s">
        <v>196</v>
      </c>
      <c r="J76" s="322" t="s">
        <v>197</v>
      </c>
      <c r="K76" s="323" t="s">
        <v>198</v>
      </c>
      <c r="L76" s="322" t="s">
        <v>199</v>
      </c>
      <c r="N76" s="348"/>
      <c r="O76" s="279"/>
    </row>
    <row r="77">
      <c r="A77" s="279"/>
      <c r="B77" s="325" t="str">
        <f t="shared" ref="B77:B90" si="6">if(L77="complete","🏅",if(L77="fail","💢",))</f>
        <v/>
      </c>
      <c r="C77" s="180" t="str">
        <f>L77&amp;F66&amp;D77</f>
        <v>Duong.6001</v>
      </c>
      <c r="D77" s="326">
        <v>1.0</v>
      </c>
      <c r="E77" s="327"/>
      <c r="F77" s="328"/>
      <c r="G77" s="328"/>
      <c r="H77" s="328"/>
      <c r="I77" s="329"/>
      <c r="J77" s="330"/>
      <c r="K77" s="365"/>
      <c r="L77" s="364"/>
      <c r="N77" s="348"/>
      <c r="O77" s="279"/>
    </row>
    <row r="78">
      <c r="A78" s="277"/>
      <c r="B78" s="325" t="str">
        <f t="shared" si="6"/>
        <v/>
      </c>
      <c r="C78" s="180" t="str">
        <f>L78&amp;F66&amp;D78</f>
        <v>Duong.6002</v>
      </c>
      <c r="D78" s="326">
        <v>2.0</v>
      </c>
      <c r="E78" s="327"/>
      <c r="F78" s="328"/>
      <c r="G78" s="328"/>
      <c r="H78" s="328"/>
      <c r="I78" s="329"/>
      <c r="J78" s="330"/>
      <c r="K78" s="366"/>
      <c r="L78" s="364"/>
      <c r="N78" s="348"/>
      <c r="O78" s="277"/>
    </row>
    <row r="79">
      <c r="A79" s="277"/>
      <c r="B79" s="325" t="str">
        <f t="shared" si="6"/>
        <v/>
      </c>
      <c r="C79" s="180" t="str">
        <f>L79&amp;F66&amp;D79</f>
        <v>Duong.6003</v>
      </c>
      <c r="D79" s="326">
        <v>3.0</v>
      </c>
      <c r="E79" s="327"/>
      <c r="F79" s="328"/>
      <c r="G79" s="328"/>
      <c r="H79" s="328"/>
      <c r="I79" s="329"/>
      <c r="J79" s="330"/>
      <c r="K79" s="366"/>
      <c r="L79" s="364"/>
      <c r="N79" s="348"/>
      <c r="O79" s="277"/>
    </row>
    <row r="80">
      <c r="A80" s="278"/>
      <c r="B80" s="325" t="str">
        <f t="shared" si="6"/>
        <v/>
      </c>
      <c r="C80" s="180" t="str">
        <f>L80&amp;F66&amp;D80</f>
        <v>Duong.6004</v>
      </c>
      <c r="D80" s="326">
        <v>4.0</v>
      </c>
      <c r="E80" s="327"/>
      <c r="F80" s="328"/>
      <c r="G80" s="328"/>
      <c r="H80" s="328"/>
      <c r="I80" s="329"/>
      <c r="J80" s="330"/>
      <c r="K80" s="365"/>
      <c r="L80" s="364"/>
      <c r="N80" s="348"/>
      <c r="O80" s="278"/>
    </row>
    <row r="81">
      <c r="A81" s="278"/>
      <c r="B81" s="325" t="str">
        <f t="shared" si="6"/>
        <v/>
      </c>
      <c r="C81" s="180" t="str">
        <f>L81&amp;F66&amp;D81</f>
        <v>Duong.6005</v>
      </c>
      <c r="D81" s="326">
        <v>5.0</v>
      </c>
      <c r="E81" s="327"/>
      <c r="F81" s="328"/>
      <c r="G81" s="328"/>
      <c r="H81" s="328"/>
      <c r="I81" s="329"/>
      <c r="J81" s="330"/>
      <c r="K81" s="366"/>
      <c r="L81" s="330"/>
      <c r="N81" s="348"/>
      <c r="O81" s="278"/>
    </row>
    <row r="82">
      <c r="A82" s="279"/>
      <c r="B82" s="325" t="str">
        <f t="shared" si="6"/>
        <v/>
      </c>
      <c r="C82" s="180" t="str">
        <f>L82&amp;F66&amp;D82</f>
        <v>Duong.6006</v>
      </c>
      <c r="D82" s="326">
        <v>6.0</v>
      </c>
      <c r="E82" s="327"/>
      <c r="F82" s="328"/>
      <c r="G82" s="328"/>
      <c r="H82" s="328"/>
      <c r="I82" s="329"/>
      <c r="J82" s="330"/>
      <c r="K82" s="366"/>
      <c r="L82" s="330"/>
      <c r="N82" s="348"/>
      <c r="O82" s="279"/>
    </row>
    <row r="83">
      <c r="A83" s="279"/>
      <c r="B83" s="325" t="str">
        <f t="shared" si="6"/>
        <v/>
      </c>
      <c r="C83" s="180" t="str">
        <f>L83&amp;F66&amp;D83</f>
        <v>Duong.6007</v>
      </c>
      <c r="D83" s="326">
        <v>7.0</v>
      </c>
      <c r="E83" s="327"/>
      <c r="F83" s="328"/>
      <c r="G83" s="328"/>
      <c r="H83" s="328"/>
      <c r="I83" s="329"/>
      <c r="J83" s="330"/>
      <c r="K83" s="366"/>
      <c r="L83" s="330"/>
      <c r="N83" s="348"/>
      <c r="O83" s="279"/>
    </row>
    <row r="84">
      <c r="A84" s="274"/>
      <c r="B84" s="325" t="str">
        <f t="shared" si="6"/>
        <v/>
      </c>
      <c r="C84" s="180" t="str">
        <f>L84&amp;F66&amp;D84</f>
        <v>Duong.6008</v>
      </c>
      <c r="D84" s="326">
        <v>8.0</v>
      </c>
      <c r="E84" s="327"/>
      <c r="F84" s="328"/>
      <c r="G84" s="328"/>
      <c r="H84" s="328"/>
      <c r="I84" s="329"/>
      <c r="J84" s="330"/>
      <c r="K84" s="366"/>
      <c r="L84" s="330"/>
      <c r="N84" s="348"/>
      <c r="O84" s="274"/>
    </row>
    <row r="85">
      <c r="A85" s="274"/>
      <c r="B85" s="325" t="str">
        <f t="shared" si="6"/>
        <v/>
      </c>
      <c r="C85" s="180" t="str">
        <f>L85&amp;F66&amp;D85</f>
        <v>Duong.6009</v>
      </c>
      <c r="D85" s="326">
        <v>9.0</v>
      </c>
      <c r="E85" s="327"/>
      <c r="F85" s="328"/>
      <c r="G85" s="328"/>
      <c r="H85" s="328"/>
      <c r="I85" s="329"/>
      <c r="J85" s="330"/>
      <c r="K85" s="366"/>
      <c r="L85" s="330"/>
      <c r="N85" s="348"/>
      <c r="O85" s="274"/>
    </row>
    <row r="86">
      <c r="A86" s="272"/>
      <c r="B86" s="325" t="str">
        <f t="shared" si="6"/>
        <v/>
      </c>
      <c r="C86" s="180" t="str">
        <f>L86&amp;F66&amp;D86</f>
        <v>Duong.60010</v>
      </c>
      <c r="D86" s="326">
        <v>10.0</v>
      </c>
      <c r="E86" s="327"/>
      <c r="F86" s="328"/>
      <c r="G86" s="328"/>
      <c r="H86" s="328"/>
      <c r="I86" s="329"/>
      <c r="J86" s="330"/>
      <c r="K86" s="366"/>
      <c r="L86" s="330"/>
      <c r="N86" s="348"/>
      <c r="O86" s="272"/>
    </row>
    <row r="87">
      <c r="A87" s="272"/>
      <c r="B87" s="325" t="str">
        <f t="shared" si="6"/>
        <v/>
      </c>
      <c r="C87" s="180" t="str">
        <f>L87&amp;F66&amp;D87</f>
        <v>Duong.60011</v>
      </c>
      <c r="D87" s="326">
        <v>11.0</v>
      </c>
      <c r="E87" s="327"/>
      <c r="F87" s="328"/>
      <c r="G87" s="328"/>
      <c r="H87" s="328"/>
      <c r="I87" s="329"/>
      <c r="J87" s="330"/>
      <c r="K87" s="366"/>
      <c r="L87" s="330"/>
      <c r="N87" s="348"/>
      <c r="O87" s="272"/>
    </row>
    <row r="88">
      <c r="A88" s="279"/>
      <c r="B88" s="325" t="str">
        <f t="shared" si="6"/>
        <v/>
      </c>
      <c r="C88" s="180" t="str">
        <f>L88&amp;F66&amp;D88</f>
        <v>Duong.60012</v>
      </c>
      <c r="D88" s="326">
        <v>12.0</v>
      </c>
      <c r="E88" s="327"/>
      <c r="F88" s="328"/>
      <c r="G88" s="328"/>
      <c r="H88" s="328"/>
      <c r="I88" s="329"/>
      <c r="J88" s="330"/>
      <c r="K88" s="366"/>
      <c r="L88" s="330"/>
      <c r="N88" s="348"/>
      <c r="O88" s="279"/>
    </row>
    <row r="89">
      <c r="A89" s="279"/>
      <c r="B89" s="325" t="str">
        <f t="shared" si="6"/>
        <v/>
      </c>
      <c r="C89" s="180" t="str">
        <f>L89&amp;F66&amp;D89</f>
        <v>Duong.60013</v>
      </c>
      <c r="D89" s="326">
        <v>13.0</v>
      </c>
      <c r="E89" s="327"/>
      <c r="F89" s="328"/>
      <c r="G89" s="328"/>
      <c r="H89" s="328"/>
      <c r="I89" s="329"/>
      <c r="J89" s="330"/>
      <c r="K89" s="366"/>
      <c r="L89" s="330"/>
      <c r="N89" s="348"/>
      <c r="O89" s="279"/>
    </row>
    <row r="90">
      <c r="A90" s="277"/>
      <c r="B90" s="325" t="str">
        <f t="shared" si="6"/>
        <v/>
      </c>
      <c r="C90" s="180" t="str">
        <f>L90&amp;F66&amp;D90</f>
        <v>Duong.60014</v>
      </c>
      <c r="D90" s="326">
        <v>14.0</v>
      </c>
      <c r="E90" s="327"/>
      <c r="F90" s="328"/>
      <c r="G90" s="328"/>
      <c r="H90" s="328"/>
      <c r="I90" s="329"/>
      <c r="J90" s="330"/>
      <c r="K90" s="366"/>
      <c r="L90" s="330"/>
      <c r="N90" s="348"/>
      <c r="O90" s="277"/>
    </row>
    <row r="91">
      <c r="A91" s="277"/>
      <c r="B91" s="367"/>
      <c r="C91" s="368"/>
      <c r="D91" s="369"/>
      <c r="E91" s="368"/>
      <c r="F91" s="370"/>
      <c r="G91" s="368"/>
      <c r="H91" s="368"/>
      <c r="I91" s="368"/>
      <c r="J91" s="368"/>
      <c r="K91" s="368"/>
      <c r="L91" s="368"/>
      <c r="M91" s="368"/>
      <c r="N91" s="371"/>
      <c r="O91" s="277"/>
    </row>
    <row r="92">
      <c r="A92" s="278"/>
      <c r="B92" s="339"/>
      <c r="D92" s="339"/>
      <c r="F92" s="340"/>
      <c r="O92" s="278"/>
    </row>
    <row r="93" ht="9.0" customHeight="1">
      <c r="A93" s="274"/>
      <c r="B93" s="275"/>
      <c r="C93" s="274"/>
      <c r="D93" s="275"/>
      <c r="E93" s="272"/>
      <c r="F93" s="276"/>
      <c r="G93" s="277"/>
      <c r="H93" s="278"/>
      <c r="I93" s="278"/>
      <c r="J93" s="277"/>
      <c r="K93" s="279"/>
      <c r="L93" s="272"/>
      <c r="M93" s="274"/>
      <c r="N93" s="274"/>
      <c r="O93" s="274"/>
    </row>
    <row r="94">
      <c r="A94" s="274"/>
      <c r="B94" s="341"/>
      <c r="C94" s="342"/>
      <c r="D94" s="343"/>
      <c r="E94" s="342"/>
      <c r="F94" s="344"/>
      <c r="G94" s="342"/>
      <c r="H94" s="342"/>
      <c r="I94" s="342"/>
      <c r="J94" s="342"/>
      <c r="K94" s="342"/>
      <c r="L94" s="342"/>
      <c r="M94" s="342"/>
      <c r="N94" s="345"/>
      <c r="O94" s="274"/>
    </row>
    <row r="95">
      <c r="A95" s="274"/>
      <c r="B95" s="346">
        <v>1.0</v>
      </c>
      <c r="D95" s="287" t="s">
        <v>171</v>
      </c>
      <c r="E95" s="347" t="s">
        <v>172</v>
      </c>
      <c r="F95" s="289" t="s">
        <v>124</v>
      </c>
      <c r="G95" s="290"/>
      <c r="J95" s="291"/>
      <c r="L95" s="298"/>
      <c r="N95" s="348"/>
      <c r="O95" s="274"/>
    </row>
    <row r="96">
      <c r="A96" s="272"/>
      <c r="B96" s="346">
        <v>1.0</v>
      </c>
      <c r="C96" s="202" t="str">
        <f t="shared" ref="C96:C101" si="7">E96&amp;$F$96</f>
        <v>Nick Name:Quyen.500</v>
      </c>
      <c r="D96" s="349" t="s">
        <v>173</v>
      </c>
      <c r="E96" s="347" t="s">
        <v>174</v>
      </c>
      <c r="F96" s="289" t="s">
        <v>29</v>
      </c>
      <c r="J96" s="291" t="s">
        <v>175</v>
      </c>
      <c r="L96" s="298" t="s">
        <v>200</v>
      </c>
      <c r="N96" s="348"/>
      <c r="O96" s="272"/>
    </row>
    <row r="97">
      <c r="A97" s="272"/>
      <c r="B97" s="346">
        <v>1.0</v>
      </c>
      <c r="C97" s="202" t="str">
        <f t="shared" si="7"/>
        <v>Full Name:Quyen.500</v>
      </c>
      <c r="D97" s="349" t="s">
        <v>177</v>
      </c>
      <c r="E97" s="347" t="s">
        <v>178</v>
      </c>
      <c r="F97" s="289" t="s">
        <v>207</v>
      </c>
      <c r="J97" s="291" t="s">
        <v>179</v>
      </c>
      <c r="L97" s="298" t="s">
        <v>200</v>
      </c>
      <c r="N97" s="348"/>
      <c r="O97" s="272"/>
    </row>
    <row r="98">
      <c r="A98" s="279"/>
      <c r="B98" s="346">
        <v>1.0</v>
      </c>
      <c r="C98" s="202" t="str">
        <f t="shared" si="7"/>
        <v>Position:Quyen.500</v>
      </c>
      <c r="D98" s="349" t="s">
        <v>181</v>
      </c>
      <c r="E98" s="347" t="s">
        <v>182</v>
      </c>
      <c r="F98" s="289" t="s">
        <v>208</v>
      </c>
      <c r="J98" s="291" t="s">
        <v>184</v>
      </c>
      <c r="L98" s="298" t="s">
        <v>200</v>
      </c>
      <c r="N98" s="348"/>
      <c r="O98" s="279"/>
    </row>
    <row r="99">
      <c r="A99" s="279"/>
      <c r="B99" s="346">
        <v>1.0</v>
      </c>
      <c r="C99" s="202" t="str">
        <f t="shared" si="7"/>
        <v>Birth:Quyen.500</v>
      </c>
      <c r="D99" s="349" t="s">
        <v>185</v>
      </c>
      <c r="E99" s="347" t="s">
        <v>186</v>
      </c>
      <c r="F99" s="372">
        <v>35279.0</v>
      </c>
      <c r="J99" s="351"/>
      <c r="K99" s="352"/>
      <c r="L99" s="352"/>
      <c r="M99" s="352"/>
      <c r="N99" s="348"/>
      <c r="O99" s="279"/>
    </row>
    <row r="100">
      <c r="A100" s="277"/>
      <c r="B100" s="356" t="str">
        <f>$L$97</f>
        <v>...</v>
      </c>
      <c r="C100" s="202" t="str">
        <f t="shared" si="7"/>
        <v>Experience:Quyen.500</v>
      </c>
      <c r="D100" s="349" t="s">
        <v>188</v>
      </c>
      <c r="E100" s="347" t="s">
        <v>189</v>
      </c>
      <c r="F100" s="289" t="s">
        <v>209</v>
      </c>
      <c r="J100" s="318"/>
      <c r="K100" s="352"/>
      <c r="L100" s="352"/>
      <c r="M100" s="352"/>
      <c r="N100" s="348"/>
      <c r="O100" s="277"/>
    </row>
    <row r="101">
      <c r="A101" s="277"/>
      <c r="B101" s="304"/>
      <c r="C101" s="202" t="str">
        <f t="shared" si="7"/>
        <v>Quote:Quyen.500</v>
      </c>
      <c r="D101" s="349" t="s">
        <v>191</v>
      </c>
      <c r="E101" s="354" t="s">
        <v>192</v>
      </c>
      <c r="F101" s="308" t="s">
        <v>203</v>
      </c>
      <c r="J101" s="318"/>
      <c r="K101" s="352"/>
      <c r="L101" s="352"/>
      <c r="M101" s="352"/>
      <c r="N101" s="348"/>
      <c r="O101" s="277"/>
    </row>
    <row r="102">
      <c r="A102" s="274"/>
      <c r="B102" s="304"/>
      <c r="C102" s="373"/>
      <c r="D102" s="353"/>
      <c r="J102" s="318"/>
      <c r="K102" s="352"/>
      <c r="L102" s="352"/>
      <c r="N102" s="348"/>
      <c r="O102" s="274"/>
    </row>
    <row r="103">
      <c r="A103" s="274"/>
      <c r="B103" s="356"/>
      <c r="C103" s="373"/>
      <c r="D103" s="353"/>
      <c r="G103" s="300" t="str">
        <f>If(H103&gt;=0,"🔴","💣")</f>
        <v>🔴</v>
      </c>
      <c r="H103" s="309">
        <f>if(F96="...",0,vlookup(F96,Summary!$E:$V,18,false))</f>
        <v>0</v>
      </c>
      <c r="J103" s="318"/>
      <c r="N103" s="348"/>
      <c r="O103" s="274"/>
    </row>
    <row r="104">
      <c r="A104" s="272"/>
      <c r="B104" s="356"/>
      <c r="C104" s="286" t="str">
        <f>G104&amp;F96</f>
        <v>❤️️Quyen.500</v>
      </c>
      <c r="D104" s="357"/>
      <c r="E104" s="358"/>
      <c r="F104" s="359"/>
      <c r="G104" s="351" t="s">
        <v>194</v>
      </c>
      <c r="H104" s="309">
        <f>sumif(L107:L120,"complete",K107:K120)-vlookup(F96,ADDSTORE!$M$3:$O$38,3,false)</f>
        <v>0</v>
      </c>
      <c r="J104" s="360"/>
      <c r="K104" s="360"/>
      <c r="N104" s="348"/>
      <c r="O104" s="272"/>
    </row>
    <row r="105">
      <c r="A105" s="272"/>
      <c r="B105" s="317"/>
      <c r="C105" s="318"/>
      <c r="D105" s="361"/>
      <c r="E105" s="318"/>
      <c r="F105" s="362"/>
      <c r="G105" s="318"/>
      <c r="H105" s="318"/>
      <c r="I105" s="318"/>
      <c r="J105" s="318"/>
      <c r="K105" s="318"/>
      <c r="L105" s="363"/>
      <c r="M105" s="363"/>
      <c r="N105" s="348"/>
      <c r="O105" s="272"/>
    </row>
    <row r="106">
      <c r="A106" s="279"/>
      <c r="B106" s="317"/>
      <c r="C106" s="318"/>
      <c r="D106" s="319" t="s">
        <v>195</v>
      </c>
      <c r="E106" s="320"/>
      <c r="F106" s="320"/>
      <c r="G106" s="320"/>
      <c r="H106" s="320"/>
      <c r="I106" s="321" t="s">
        <v>196</v>
      </c>
      <c r="J106" s="322" t="s">
        <v>197</v>
      </c>
      <c r="K106" s="323" t="s">
        <v>198</v>
      </c>
      <c r="L106" s="322" t="s">
        <v>199</v>
      </c>
      <c r="N106" s="348"/>
      <c r="O106" s="279"/>
    </row>
    <row r="107">
      <c r="A107" s="279"/>
      <c r="B107" s="325" t="str">
        <f t="shared" ref="B107:B120" si="8">if(L107="complete","🏅",if(L107="fail","💢",))</f>
        <v/>
      </c>
      <c r="C107" s="180" t="str">
        <f>L107&amp;F96&amp;D107</f>
        <v>Quyen.5001</v>
      </c>
      <c r="D107" s="326">
        <v>1.0</v>
      </c>
      <c r="E107" s="327"/>
      <c r="F107" s="328"/>
      <c r="G107" s="328"/>
      <c r="H107" s="328"/>
      <c r="I107" s="329"/>
      <c r="J107" s="330"/>
      <c r="K107" s="365"/>
      <c r="L107" s="364"/>
      <c r="N107" s="348"/>
      <c r="O107" s="279"/>
    </row>
    <row r="108">
      <c r="A108" s="277"/>
      <c r="B108" s="325" t="str">
        <f t="shared" si="8"/>
        <v/>
      </c>
      <c r="C108" s="180" t="str">
        <f>L108&amp;F96&amp;D108</f>
        <v>Quyen.5002</v>
      </c>
      <c r="D108" s="326">
        <v>2.0</v>
      </c>
      <c r="E108" s="327"/>
      <c r="F108" s="328"/>
      <c r="G108" s="328"/>
      <c r="H108" s="328"/>
      <c r="I108" s="329"/>
      <c r="J108" s="330"/>
      <c r="K108" s="366"/>
      <c r="L108" s="364"/>
      <c r="N108" s="348"/>
      <c r="O108" s="277"/>
    </row>
    <row r="109">
      <c r="A109" s="277"/>
      <c r="B109" s="325" t="str">
        <f t="shared" si="8"/>
        <v/>
      </c>
      <c r="C109" s="180" t="str">
        <f>L109&amp;F96&amp;D109</f>
        <v>Quyen.5003</v>
      </c>
      <c r="D109" s="326">
        <v>3.0</v>
      </c>
      <c r="E109" s="327"/>
      <c r="F109" s="328"/>
      <c r="G109" s="328"/>
      <c r="H109" s="328"/>
      <c r="I109" s="329"/>
      <c r="J109" s="330"/>
      <c r="K109" s="366"/>
      <c r="L109" s="364"/>
      <c r="N109" s="348"/>
      <c r="O109" s="277"/>
    </row>
    <row r="110">
      <c r="A110" s="278"/>
      <c r="B110" s="325" t="str">
        <f t="shared" si="8"/>
        <v/>
      </c>
      <c r="C110" s="180" t="str">
        <f>L110&amp;F96&amp;D110</f>
        <v>Quyen.5004</v>
      </c>
      <c r="D110" s="326">
        <v>4.0</v>
      </c>
      <c r="E110" s="327"/>
      <c r="F110" s="328"/>
      <c r="G110" s="328"/>
      <c r="H110" s="328"/>
      <c r="I110" s="329"/>
      <c r="J110" s="330"/>
      <c r="K110" s="365"/>
      <c r="L110" s="364"/>
      <c r="N110" s="348"/>
      <c r="O110" s="278"/>
    </row>
    <row r="111">
      <c r="A111" s="278"/>
      <c r="B111" s="325" t="str">
        <f t="shared" si="8"/>
        <v/>
      </c>
      <c r="C111" s="180" t="str">
        <f>L111&amp;F96&amp;D111</f>
        <v>Quyen.5005</v>
      </c>
      <c r="D111" s="326">
        <v>5.0</v>
      </c>
      <c r="E111" s="327"/>
      <c r="F111" s="328"/>
      <c r="G111" s="328"/>
      <c r="H111" s="328"/>
      <c r="I111" s="329"/>
      <c r="J111" s="330"/>
      <c r="K111" s="366"/>
      <c r="L111" s="330"/>
      <c r="N111" s="348"/>
      <c r="O111" s="278"/>
    </row>
    <row r="112">
      <c r="A112" s="279"/>
      <c r="B112" s="325" t="str">
        <f t="shared" si="8"/>
        <v/>
      </c>
      <c r="C112" s="180" t="str">
        <f>L112&amp;F96&amp;D112</f>
        <v>Quyen.5006</v>
      </c>
      <c r="D112" s="326">
        <v>6.0</v>
      </c>
      <c r="E112" s="327"/>
      <c r="F112" s="328"/>
      <c r="G112" s="328"/>
      <c r="H112" s="328"/>
      <c r="I112" s="329"/>
      <c r="J112" s="330"/>
      <c r="K112" s="366"/>
      <c r="L112" s="330"/>
      <c r="N112" s="348"/>
      <c r="O112" s="279"/>
    </row>
    <row r="113">
      <c r="A113" s="279"/>
      <c r="B113" s="325" t="str">
        <f t="shared" si="8"/>
        <v/>
      </c>
      <c r="C113" s="180" t="str">
        <f>L113&amp;F96&amp;D113</f>
        <v>Quyen.5007</v>
      </c>
      <c r="D113" s="326">
        <v>7.0</v>
      </c>
      <c r="E113" s="327"/>
      <c r="F113" s="328"/>
      <c r="G113" s="328"/>
      <c r="H113" s="328"/>
      <c r="I113" s="329"/>
      <c r="J113" s="330"/>
      <c r="K113" s="366"/>
      <c r="L113" s="330"/>
      <c r="N113" s="348"/>
      <c r="O113" s="279"/>
    </row>
    <row r="114">
      <c r="A114" s="274"/>
      <c r="B114" s="325" t="str">
        <f t="shared" si="8"/>
        <v/>
      </c>
      <c r="C114" s="180" t="str">
        <f>L114&amp;F96&amp;D114</f>
        <v>Quyen.5008</v>
      </c>
      <c r="D114" s="326">
        <v>8.0</v>
      </c>
      <c r="E114" s="327"/>
      <c r="F114" s="328"/>
      <c r="G114" s="328"/>
      <c r="H114" s="328"/>
      <c r="I114" s="329"/>
      <c r="J114" s="330"/>
      <c r="K114" s="366"/>
      <c r="L114" s="330"/>
      <c r="N114" s="348"/>
      <c r="O114" s="274"/>
    </row>
    <row r="115">
      <c r="A115" s="274"/>
      <c r="B115" s="325" t="str">
        <f t="shared" si="8"/>
        <v/>
      </c>
      <c r="C115" s="180" t="str">
        <f>L115&amp;F96&amp;D115</f>
        <v>Quyen.5009</v>
      </c>
      <c r="D115" s="326">
        <v>9.0</v>
      </c>
      <c r="E115" s="327"/>
      <c r="F115" s="328"/>
      <c r="G115" s="328"/>
      <c r="H115" s="328"/>
      <c r="I115" s="329"/>
      <c r="J115" s="330"/>
      <c r="K115" s="366"/>
      <c r="L115" s="330"/>
      <c r="N115" s="348"/>
      <c r="O115" s="274"/>
    </row>
    <row r="116">
      <c r="A116" s="272"/>
      <c r="B116" s="325" t="str">
        <f t="shared" si="8"/>
        <v/>
      </c>
      <c r="C116" s="180" t="str">
        <f>L116&amp;F96&amp;D116</f>
        <v>Quyen.50010</v>
      </c>
      <c r="D116" s="326">
        <v>10.0</v>
      </c>
      <c r="E116" s="327"/>
      <c r="F116" s="328"/>
      <c r="G116" s="328"/>
      <c r="H116" s="328"/>
      <c r="I116" s="329"/>
      <c r="J116" s="330"/>
      <c r="K116" s="366"/>
      <c r="L116" s="330"/>
      <c r="N116" s="348"/>
      <c r="O116" s="272"/>
    </row>
    <row r="117">
      <c r="A117" s="272"/>
      <c r="B117" s="325" t="str">
        <f t="shared" si="8"/>
        <v/>
      </c>
      <c r="C117" s="180" t="str">
        <f>L117&amp;F96&amp;D117</f>
        <v>Quyen.50011</v>
      </c>
      <c r="D117" s="326">
        <v>11.0</v>
      </c>
      <c r="E117" s="327"/>
      <c r="F117" s="328"/>
      <c r="G117" s="328"/>
      <c r="H117" s="328"/>
      <c r="I117" s="329"/>
      <c r="J117" s="330"/>
      <c r="K117" s="366"/>
      <c r="L117" s="330"/>
      <c r="N117" s="348"/>
      <c r="O117" s="272"/>
    </row>
    <row r="118">
      <c r="A118" s="279"/>
      <c r="B118" s="325" t="str">
        <f t="shared" si="8"/>
        <v/>
      </c>
      <c r="C118" s="180" t="str">
        <f>L118&amp;F96&amp;D118</f>
        <v>Quyen.50012</v>
      </c>
      <c r="D118" s="326">
        <v>12.0</v>
      </c>
      <c r="E118" s="327"/>
      <c r="F118" s="328"/>
      <c r="G118" s="328"/>
      <c r="H118" s="328"/>
      <c r="I118" s="329"/>
      <c r="J118" s="330"/>
      <c r="K118" s="366"/>
      <c r="L118" s="330"/>
      <c r="N118" s="348"/>
      <c r="O118" s="279"/>
    </row>
    <row r="119">
      <c r="A119" s="279"/>
      <c r="B119" s="325" t="str">
        <f t="shared" si="8"/>
        <v/>
      </c>
      <c r="C119" s="180" t="str">
        <f>L119&amp;F96&amp;D119</f>
        <v>Quyen.50013</v>
      </c>
      <c r="D119" s="326">
        <v>13.0</v>
      </c>
      <c r="E119" s="327"/>
      <c r="F119" s="328"/>
      <c r="G119" s="328"/>
      <c r="H119" s="328"/>
      <c r="I119" s="329"/>
      <c r="J119" s="330"/>
      <c r="K119" s="366"/>
      <c r="L119" s="330"/>
      <c r="N119" s="348"/>
      <c r="O119" s="279"/>
    </row>
    <row r="120">
      <c r="A120" s="277"/>
      <c r="B120" s="325" t="str">
        <f t="shared" si="8"/>
        <v/>
      </c>
      <c r="C120" s="180" t="str">
        <f>L120&amp;F96&amp;D120</f>
        <v>Quyen.50014</v>
      </c>
      <c r="D120" s="326">
        <v>14.0</v>
      </c>
      <c r="E120" s="327"/>
      <c r="F120" s="328"/>
      <c r="G120" s="328"/>
      <c r="H120" s="328"/>
      <c r="I120" s="329"/>
      <c r="J120" s="330"/>
      <c r="K120" s="366"/>
      <c r="L120" s="330"/>
      <c r="N120" s="348"/>
      <c r="O120" s="277"/>
    </row>
    <row r="121">
      <c r="A121" s="277"/>
      <c r="B121" s="367"/>
      <c r="C121" s="368"/>
      <c r="D121" s="369"/>
      <c r="E121" s="368"/>
      <c r="F121" s="370"/>
      <c r="G121" s="368"/>
      <c r="H121" s="368"/>
      <c r="I121" s="368"/>
      <c r="J121" s="368"/>
      <c r="K121" s="368"/>
      <c r="L121" s="368"/>
      <c r="M121" s="368"/>
      <c r="N121" s="371"/>
      <c r="O121" s="277"/>
    </row>
    <row r="122">
      <c r="A122" s="278"/>
      <c r="B122" s="339"/>
      <c r="D122" s="339"/>
      <c r="F122" s="340"/>
      <c r="O122" s="278"/>
    </row>
    <row r="123" ht="9.75" customHeight="1">
      <c r="A123" s="274"/>
      <c r="B123" s="275"/>
      <c r="C123" s="274"/>
      <c r="D123" s="275"/>
      <c r="E123" s="272"/>
      <c r="F123" s="276"/>
      <c r="G123" s="277"/>
      <c r="H123" s="278"/>
      <c r="I123" s="278"/>
      <c r="J123" s="277"/>
      <c r="K123" s="279"/>
      <c r="L123" s="272"/>
      <c r="M123" s="274"/>
      <c r="N123" s="274"/>
      <c r="O123" s="274"/>
    </row>
    <row r="124">
      <c r="A124" s="274"/>
      <c r="B124" s="341"/>
      <c r="C124" s="342"/>
      <c r="D124" s="343"/>
      <c r="E124" s="342"/>
      <c r="F124" s="344"/>
      <c r="G124" s="342"/>
      <c r="H124" s="342"/>
      <c r="I124" s="342"/>
      <c r="J124" s="342"/>
      <c r="K124" s="342"/>
      <c r="L124" s="342"/>
      <c r="M124" s="342"/>
      <c r="N124" s="345"/>
      <c r="O124" s="274"/>
    </row>
    <row r="125">
      <c r="A125" s="274"/>
      <c r="B125" s="346">
        <v>1.0</v>
      </c>
      <c r="D125" s="287" t="s">
        <v>171</v>
      </c>
      <c r="E125" s="347" t="s">
        <v>172</v>
      </c>
      <c r="F125" s="289" t="s">
        <v>69</v>
      </c>
      <c r="G125" s="290"/>
      <c r="J125" s="291"/>
      <c r="N125" s="348"/>
      <c r="O125" s="274"/>
    </row>
    <row r="126">
      <c r="A126" s="272"/>
      <c r="B126" s="346">
        <v>1.0</v>
      </c>
      <c r="C126" s="202" t="str">
        <f t="shared" ref="C126:C131" si="9">E126&amp;$F$126</f>
        <v>Nick Name:Lan Huong.600</v>
      </c>
      <c r="D126" s="349" t="s">
        <v>173</v>
      </c>
      <c r="E126" s="347" t="s">
        <v>174</v>
      </c>
      <c r="F126" s="289" t="s">
        <v>13</v>
      </c>
      <c r="J126" s="291" t="s">
        <v>175</v>
      </c>
      <c r="L126" s="298" t="s">
        <v>176</v>
      </c>
      <c r="N126" s="348"/>
      <c r="O126" s="272"/>
    </row>
    <row r="127">
      <c r="A127" s="272"/>
      <c r="B127" s="346">
        <v>1.0</v>
      </c>
      <c r="C127" s="202" t="str">
        <f t="shared" si="9"/>
        <v>Full Name:Lan Huong.600</v>
      </c>
      <c r="D127" s="349" t="s">
        <v>177</v>
      </c>
      <c r="E127" s="347" t="s">
        <v>178</v>
      </c>
      <c r="F127" s="289" t="s">
        <v>145</v>
      </c>
      <c r="J127" s="291" t="s">
        <v>179</v>
      </c>
      <c r="L127" s="298" t="s">
        <v>210</v>
      </c>
      <c r="N127" s="348"/>
      <c r="O127" s="272"/>
    </row>
    <row r="128">
      <c r="A128" s="279"/>
      <c r="B128" s="346">
        <v>1.0</v>
      </c>
      <c r="C128" s="202" t="str">
        <f t="shared" si="9"/>
        <v>Position:Lan Huong.600</v>
      </c>
      <c r="D128" s="349" t="s">
        <v>181</v>
      </c>
      <c r="E128" s="347" t="s">
        <v>182</v>
      </c>
      <c r="F128" s="289" t="s">
        <v>72</v>
      </c>
      <c r="J128" s="291" t="s">
        <v>184</v>
      </c>
      <c r="L128" s="298" t="s">
        <v>211</v>
      </c>
      <c r="N128" s="348"/>
      <c r="O128" s="279"/>
    </row>
    <row r="129">
      <c r="A129" s="279"/>
      <c r="B129" s="346">
        <v>1.0</v>
      </c>
      <c r="C129" s="202" t="str">
        <f t="shared" si="9"/>
        <v>Birth:Lan Huong.600</v>
      </c>
      <c r="D129" s="349" t="s">
        <v>185</v>
      </c>
      <c r="E129" s="347" t="s">
        <v>186</v>
      </c>
      <c r="F129" s="289" t="s">
        <v>212</v>
      </c>
      <c r="J129" s="351"/>
      <c r="K129" s="352"/>
      <c r="L129" s="352"/>
      <c r="M129" s="352"/>
      <c r="N129" s="348"/>
      <c r="O129" s="279"/>
    </row>
    <row r="130">
      <c r="A130" s="277"/>
      <c r="B130" s="346">
        <v>1.0</v>
      </c>
      <c r="C130" s="202" t="str">
        <f t="shared" si="9"/>
        <v>Experience:Lan Huong.600</v>
      </c>
      <c r="D130" s="349" t="s">
        <v>188</v>
      </c>
      <c r="E130" s="347" t="s">
        <v>189</v>
      </c>
      <c r="F130" s="289" t="s">
        <v>200</v>
      </c>
      <c r="J130" s="318"/>
      <c r="K130" s="352"/>
      <c r="L130" s="352"/>
      <c r="M130" s="352"/>
      <c r="N130" s="348"/>
      <c r="O130" s="277"/>
    </row>
    <row r="131">
      <c r="A131" s="277"/>
      <c r="B131" s="346"/>
      <c r="C131" s="374" t="str">
        <f t="shared" si="9"/>
        <v>Quote:Lan Huong.600</v>
      </c>
      <c r="D131" s="353" t="s">
        <v>191</v>
      </c>
      <c r="E131" s="354" t="s">
        <v>192</v>
      </c>
      <c r="F131" s="375"/>
      <c r="J131" s="318"/>
      <c r="K131" s="352"/>
      <c r="L131" s="352"/>
      <c r="M131" s="352"/>
      <c r="N131" s="348"/>
      <c r="O131" s="277"/>
    </row>
    <row r="132">
      <c r="A132" s="274"/>
      <c r="B132" s="346"/>
      <c r="J132" s="318"/>
      <c r="K132" s="352"/>
      <c r="L132" s="352"/>
      <c r="N132" s="348"/>
      <c r="O132" s="274"/>
    </row>
    <row r="133">
      <c r="A133" s="274"/>
      <c r="B133" s="356"/>
      <c r="G133" s="300" t="str">
        <f>If(H133&gt;=0,"🔴","💣")</f>
        <v>🔴</v>
      </c>
      <c r="H133" s="309">
        <f>if(F126="...",0,vlookup(F126,Summary!$E:$V,18,false))</f>
        <v>0</v>
      </c>
      <c r="J133" s="318"/>
      <c r="N133" s="348"/>
      <c r="O133" s="274"/>
    </row>
    <row r="134">
      <c r="A134" s="272"/>
      <c r="B134" s="356"/>
      <c r="C134" s="286" t="str">
        <f>G134&amp;F126</f>
        <v>❤️️Lan Huong.600</v>
      </c>
      <c r="D134" s="357"/>
      <c r="E134" s="358"/>
      <c r="F134" s="359"/>
      <c r="G134" s="351" t="s">
        <v>194</v>
      </c>
      <c r="H134" s="309">
        <f>sumif(L137:L150,"complete",K137:K150)-vlookup(F126,ADDSTORE!$M$3:$O$38,3,false)</f>
        <v>0</v>
      </c>
      <c r="J134" s="360"/>
      <c r="K134" s="360"/>
      <c r="N134" s="348"/>
      <c r="O134" s="272"/>
    </row>
    <row r="135">
      <c r="A135" s="272"/>
      <c r="B135" s="317"/>
      <c r="C135" s="318"/>
      <c r="D135" s="361"/>
      <c r="E135" s="318"/>
      <c r="F135" s="362"/>
      <c r="G135" s="318"/>
      <c r="H135" s="318"/>
      <c r="I135" s="318"/>
      <c r="J135" s="318"/>
      <c r="K135" s="318"/>
      <c r="L135" s="363"/>
      <c r="M135" s="363"/>
      <c r="N135" s="348"/>
      <c r="O135" s="272"/>
    </row>
    <row r="136">
      <c r="A136" s="279"/>
      <c r="B136" s="317"/>
      <c r="C136" s="318"/>
      <c r="D136" s="319" t="s">
        <v>195</v>
      </c>
      <c r="E136" s="320"/>
      <c r="F136" s="320"/>
      <c r="G136" s="320"/>
      <c r="H136" s="320"/>
      <c r="I136" s="321" t="s">
        <v>196</v>
      </c>
      <c r="J136" s="322" t="s">
        <v>197</v>
      </c>
      <c r="K136" s="323" t="s">
        <v>198</v>
      </c>
      <c r="L136" s="322" t="s">
        <v>199</v>
      </c>
      <c r="N136" s="348"/>
      <c r="O136" s="279"/>
    </row>
    <row r="137">
      <c r="A137" s="279"/>
      <c r="B137" s="325" t="str">
        <f t="shared" ref="B137:B150" si="10">if(L137="complete","🏅",if(L137="fail","💢",))</f>
        <v/>
      </c>
      <c r="C137" s="180" t="str">
        <f>L137&amp;F126&amp;D137</f>
        <v>Lan Huong.6001</v>
      </c>
      <c r="D137" s="326">
        <v>1.0</v>
      </c>
      <c r="E137" s="327"/>
      <c r="F137" s="328"/>
      <c r="G137" s="328"/>
      <c r="H137" s="328"/>
      <c r="I137" s="329"/>
      <c r="J137" s="330"/>
      <c r="K137" s="365"/>
      <c r="L137" s="364"/>
      <c r="N137" s="348"/>
      <c r="O137" s="279"/>
    </row>
    <row r="138">
      <c r="A138" s="277"/>
      <c r="B138" s="325" t="str">
        <f t="shared" si="10"/>
        <v/>
      </c>
      <c r="C138" s="180" t="str">
        <f>L138&amp;F126&amp;D138</f>
        <v>Lan Huong.6002</v>
      </c>
      <c r="D138" s="326">
        <v>2.0</v>
      </c>
      <c r="E138" s="327"/>
      <c r="F138" s="328"/>
      <c r="G138" s="328"/>
      <c r="H138" s="328"/>
      <c r="I138" s="329"/>
      <c r="J138" s="330"/>
      <c r="K138" s="366"/>
      <c r="L138" s="364"/>
      <c r="N138" s="348"/>
      <c r="O138" s="277"/>
    </row>
    <row r="139">
      <c r="A139" s="277"/>
      <c r="B139" s="325" t="str">
        <f t="shared" si="10"/>
        <v/>
      </c>
      <c r="C139" s="180" t="str">
        <f>L139&amp;F126&amp;D139</f>
        <v>Lan Huong.6003</v>
      </c>
      <c r="D139" s="326">
        <v>3.0</v>
      </c>
      <c r="E139" s="327"/>
      <c r="F139" s="328"/>
      <c r="G139" s="328"/>
      <c r="H139" s="328"/>
      <c r="I139" s="329"/>
      <c r="J139" s="330"/>
      <c r="K139" s="366"/>
      <c r="L139" s="364"/>
      <c r="N139" s="348"/>
      <c r="O139" s="277"/>
    </row>
    <row r="140">
      <c r="A140" s="278"/>
      <c r="B140" s="325" t="str">
        <f t="shared" si="10"/>
        <v/>
      </c>
      <c r="C140" s="180" t="str">
        <f>L140&amp;F126&amp;D140</f>
        <v>Lan Huong.6004</v>
      </c>
      <c r="D140" s="326">
        <v>4.0</v>
      </c>
      <c r="E140" s="327"/>
      <c r="F140" s="328"/>
      <c r="G140" s="328"/>
      <c r="H140" s="328"/>
      <c r="I140" s="329"/>
      <c r="J140" s="330"/>
      <c r="K140" s="365"/>
      <c r="L140" s="364"/>
      <c r="N140" s="348"/>
      <c r="O140" s="278"/>
    </row>
    <row r="141">
      <c r="A141" s="278"/>
      <c r="B141" s="325" t="str">
        <f t="shared" si="10"/>
        <v/>
      </c>
      <c r="C141" s="180" t="str">
        <f>L141&amp;F126&amp;D141</f>
        <v>Lan Huong.6005</v>
      </c>
      <c r="D141" s="326">
        <v>5.0</v>
      </c>
      <c r="E141" s="327"/>
      <c r="F141" s="328"/>
      <c r="G141" s="328"/>
      <c r="H141" s="328"/>
      <c r="I141" s="329"/>
      <c r="J141" s="330"/>
      <c r="K141" s="366"/>
      <c r="L141" s="330"/>
      <c r="N141" s="348"/>
      <c r="O141" s="278"/>
    </row>
    <row r="142">
      <c r="A142" s="279"/>
      <c r="B142" s="325" t="str">
        <f t="shared" si="10"/>
        <v/>
      </c>
      <c r="C142" s="180" t="str">
        <f>L142&amp;F126&amp;D142</f>
        <v>Lan Huong.6006</v>
      </c>
      <c r="D142" s="326">
        <v>6.0</v>
      </c>
      <c r="E142" s="327"/>
      <c r="F142" s="328"/>
      <c r="G142" s="328"/>
      <c r="H142" s="328"/>
      <c r="I142" s="329"/>
      <c r="J142" s="330"/>
      <c r="K142" s="366"/>
      <c r="L142" s="330"/>
      <c r="N142" s="348"/>
      <c r="O142" s="279"/>
    </row>
    <row r="143">
      <c r="A143" s="279"/>
      <c r="B143" s="325" t="str">
        <f t="shared" si="10"/>
        <v/>
      </c>
      <c r="C143" s="180" t="str">
        <f>L143&amp;F126&amp;D143</f>
        <v>Lan Huong.6007</v>
      </c>
      <c r="D143" s="326">
        <v>7.0</v>
      </c>
      <c r="E143" s="327"/>
      <c r="F143" s="328"/>
      <c r="G143" s="328"/>
      <c r="H143" s="328"/>
      <c r="I143" s="329"/>
      <c r="J143" s="330"/>
      <c r="K143" s="366"/>
      <c r="L143" s="330"/>
      <c r="N143" s="348"/>
      <c r="O143" s="279"/>
    </row>
    <row r="144">
      <c r="A144" s="274"/>
      <c r="B144" s="325" t="str">
        <f t="shared" si="10"/>
        <v/>
      </c>
      <c r="C144" s="180" t="str">
        <f>L144&amp;F126&amp;D144</f>
        <v>Lan Huong.6008</v>
      </c>
      <c r="D144" s="326">
        <v>8.0</v>
      </c>
      <c r="E144" s="327"/>
      <c r="F144" s="328"/>
      <c r="G144" s="328"/>
      <c r="H144" s="328"/>
      <c r="I144" s="329"/>
      <c r="J144" s="330"/>
      <c r="K144" s="366"/>
      <c r="L144" s="330"/>
      <c r="N144" s="348"/>
      <c r="O144" s="274"/>
    </row>
    <row r="145">
      <c r="A145" s="274"/>
      <c r="B145" s="325" t="str">
        <f t="shared" si="10"/>
        <v/>
      </c>
      <c r="C145" s="180" t="str">
        <f>L145&amp;F126&amp;D145</f>
        <v>Lan Huong.6009</v>
      </c>
      <c r="D145" s="326">
        <v>9.0</v>
      </c>
      <c r="E145" s="327"/>
      <c r="F145" s="328"/>
      <c r="G145" s="328"/>
      <c r="H145" s="328"/>
      <c r="I145" s="329"/>
      <c r="J145" s="330"/>
      <c r="K145" s="366"/>
      <c r="L145" s="330"/>
      <c r="N145" s="348"/>
      <c r="O145" s="274"/>
    </row>
    <row r="146">
      <c r="A146" s="272"/>
      <c r="B146" s="325" t="str">
        <f t="shared" si="10"/>
        <v/>
      </c>
      <c r="C146" s="180" t="str">
        <f>L146&amp;F126&amp;D146</f>
        <v>Lan Huong.60010</v>
      </c>
      <c r="D146" s="326">
        <v>10.0</v>
      </c>
      <c r="E146" s="327"/>
      <c r="F146" s="328"/>
      <c r="G146" s="328"/>
      <c r="H146" s="328"/>
      <c r="I146" s="329"/>
      <c r="J146" s="330"/>
      <c r="K146" s="366"/>
      <c r="L146" s="330"/>
      <c r="N146" s="348"/>
      <c r="O146" s="272"/>
    </row>
    <row r="147">
      <c r="A147" s="272"/>
      <c r="B147" s="325" t="str">
        <f t="shared" si="10"/>
        <v/>
      </c>
      <c r="C147" s="180" t="str">
        <f>L147&amp;F126&amp;D147</f>
        <v>Lan Huong.60011</v>
      </c>
      <c r="D147" s="326">
        <v>11.0</v>
      </c>
      <c r="E147" s="327"/>
      <c r="F147" s="328"/>
      <c r="G147" s="328"/>
      <c r="H147" s="328"/>
      <c r="I147" s="329"/>
      <c r="J147" s="330"/>
      <c r="K147" s="366"/>
      <c r="L147" s="330"/>
      <c r="N147" s="348"/>
      <c r="O147" s="272"/>
    </row>
    <row r="148">
      <c r="A148" s="279"/>
      <c r="B148" s="325" t="str">
        <f t="shared" si="10"/>
        <v/>
      </c>
      <c r="C148" s="180" t="str">
        <f>L148&amp;F126&amp;D148</f>
        <v>Lan Huong.60012</v>
      </c>
      <c r="D148" s="326">
        <v>12.0</v>
      </c>
      <c r="E148" s="327"/>
      <c r="F148" s="328"/>
      <c r="G148" s="328"/>
      <c r="H148" s="328"/>
      <c r="I148" s="329"/>
      <c r="J148" s="330"/>
      <c r="K148" s="366"/>
      <c r="L148" s="330"/>
      <c r="N148" s="348"/>
      <c r="O148" s="279"/>
    </row>
    <row r="149">
      <c r="A149" s="279"/>
      <c r="B149" s="325" t="str">
        <f t="shared" si="10"/>
        <v/>
      </c>
      <c r="C149" s="180" t="str">
        <f>L149&amp;F126&amp;D149</f>
        <v>Lan Huong.60013</v>
      </c>
      <c r="D149" s="326">
        <v>13.0</v>
      </c>
      <c r="E149" s="327"/>
      <c r="F149" s="328"/>
      <c r="G149" s="328"/>
      <c r="H149" s="328"/>
      <c r="I149" s="329"/>
      <c r="J149" s="330"/>
      <c r="K149" s="366"/>
      <c r="L149" s="330"/>
      <c r="N149" s="348"/>
      <c r="O149" s="279"/>
    </row>
    <row r="150">
      <c r="A150" s="277"/>
      <c r="B150" s="325" t="str">
        <f t="shared" si="10"/>
        <v/>
      </c>
      <c r="C150" s="180" t="str">
        <f>L150&amp;F126&amp;D150</f>
        <v>Lan Huong.60014</v>
      </c>
      <c r="D150" s="326">
        <v>14.0</v>
      </c>
      <c r="E150" s="327"/>
      <c r="F150" s="328"/>
      <c r="G150" s="328"/>
      <c r="H150" s="328"/>
      <c r="I150" s="329"/>
      <c r="J150" s="330"/>
      <c r="K150" s="366"/>
      <c r="L150" s="330"/>
      <c r="N150" s="348"/>
      <c r="O150" s="277"/>
    </row>
    <row r="151">
      <c r="A151" s="277"/>
      <c r="B151" s="367"/>
      <c r="C151" s="368"/>
      <c r="D151" s="369"/>
      <c r="E151" s="368"/>
      <c r="F151" s="370"/>
      <c r="G151" s="368"/>
      <c r="H151" s="368"/>
      <c r="I151" s="368"/>
      <c r="J151" s="368"/>
      <c r="K151" s="368"/>
      <c r="L151" s="368"/>
      <c r="M151" s="368"/>
      <c r="N151" s="371"/>
      <c r="O151" s="277"/>
    </row>
    <row r="152">
      <c r="A152" s="278"/>
      <c r="B152" s="339"/>
      <c r="D152" s="339"/>
      <c r="F152" s="340"/>
      <c r="O152" s="278"/>
    </row>
    <row r="153" ht="8.25" customHeight="1">
      <c r="A153" s="274"/>
      <c r="B153" s="275"/>
      <c r="C153" s="274"/>
      <c r="D153" s="275"/>
      <c r="E153" s="272"/>
      <c r="F153" s="276"/>
      <c r="G153" s="277"/>
      <c r="H153" s="278"/>
      <c r="I153" s="278"/>
      <c r="J153" s="277"/>
      <c r="K153" s="279"/>
      <c r="L153" s="272"/>
      <c r="M153" s="274"/>
      <c r="N153" s="274"/>
      <c r="O153" s="274"/>
    </row>
    <row r="154">
      <c r="A154" s="274"/>
      <c r="B154" s="341"/>
      <c r="C154" s="342"/>
      <c r="D154" s="343"/>
      <c r="E154" s="342"/>
      <c r="F154" s="344"/>
      <c r="G154" s="342"/>
      <c r="H154" s="342"/>
      <c r="I154" s="342"/>
      <c r="J154" s="342"/>
      <c r="K154" s="342"/>
      <c r="L154" s="342"/>
      <c r="M154" s="342"/>
      <c r="N154" s="345"/>
      <c r="O154" s="274"/>
    </row>
    <row r="155">
      <c r="A155" s="274"/>
      <c r="B155" s="346">
        <v>1.0</v>
      </c>
      <c r="D155" s="287" t="s">
        <v>171</v>
      </c>
      <c r="E155" s="347" t="s">
        <v>172</v>
      </c>
      <c r="F155" s="289" t="s">
        <v>62</v>
      </c>
      <c r="G155" s="290"/>
      <c r="J155" s="291"/>
      <c r="N155" s="348"/>
      <c r="O155" s="274"/>
    </row>
    <row r="156">
      <c r="A156" s="272"/>
      <c r="B156" s="346">
        <v>1.0</v>
      </c>
      <c r="C156" s="202" t="str">
        <f>E156&amp;F156</f>
        <v>Nick Name:Quan.600</v>
      </c>
      <c r="D156" s="349" t="s">
        <v>173</v>
      </c>
      <c r="E156" s="347" t="s">
        <v>174</v>
      </c>
      <c r="F156" s="289" t="s">
        <v>11</v>
      </c>
      <c r="J156" s="291" t="s">
        <v>175</v>
      </c>
      <c r="L156" s="298" t="s">
        <v>176</v>
      </c>
      <c r="N156" s="348"/>
      <c r="O156" s="272"/>
    </row>
    <row r="157">
      <c r="A157" s="272"/>
      <c r="B157" s="346">
        <v>1.0</v>
      </c>
      <c r="C157" s="202" t="str">
        <f>E157&amp;F156</f>
        <v>Full Name:Quan.600</v>
      </c>
      <c r="D157" s="349" t="s">
        <v>177</v>
      </c>
      <c r="E157" s="347" t="s">
        <v>178</v>
      </c>
      <c r="F157" s="289" t="s">
        <v>213</v>
      </c>
      <c r="J157" s="291" t="s">
        <v>179</v>
      </c>
      <c r="L157" s="298" t="s">
        <v>200</v>
      </c>
      <c r="N157" s="348"/>
      <c r="O157" s="272"/>
    </row>
    <row r="158">
      <c r="A158" s="279"/>
      <c r="B158" s="346">
        <v>1.0</v>
      </c>
      <c r="C158" s="202" t="str">
        <f>E158&amp;F156</f>
        <v>Position:Quan.600</v>
      </c>
      <c r="D158" s="349" t="s">
        <v>181</v>
      </c>
      <c r="E158" s="347" t="s">
        <v>182</v>
      </c>
      <c r="F158" s="289" t="s">
        <v>214</v>
      </c>
      <c r="J158" s="291" t="s">
        <v>184</v>
      </c>
      <c r="L158" s="298" t="s">
        <v>200</v>
      </c>
      <c r="N158" s="348"/>
      <c r="O158" s="279"/>
    </row>
    <row r="159">
      <c r="A159" s="279"/>
      <c r="B159" s="346">
        <v>1.0</v>
      </c>
      <c r="C159" s="202" t="str">
        <f>E159&amp;F156</f>
        <v>Birth:Quan.600</v>
      </c>
      <c r="D159" s="349" t="s">
        <v>185</v>
      </c>
      <c r="E159" s="347" t="s">
        <v>186</v>
      </c>
      <c r="F159" s="289"/>
      <c r="J159" s="351"/>
      <c r="K159" s="352"/>
      <c r="L159" s="352"/>
      <c r="M159" s="352"/>
      <c r="N159" s="348"/>
      <c r="O159" s="279"/>
    </row>
    <row r="160">
      <c r="A160" s="277"/>
      <c r="B160" s="346">
        <v>1.0</v>
      </c>
      <c r="C160" s="202" t="str">
        <f>E160&amp;F156</f>
        <v>Experience:Quan.600</v>
      </c>
      <c r="D160" s="349" t="s">
        <v>188</v>
      </c>
      <c r="E160" s="347" t="s">
        <v>189</v>
      </c>
      <c r="F160" s="289"/>
      <c r="J160" s="318"/>
      <c r="K160" s="352"/>
      <c r="L160" s="352"/>
      <c r="M160" s="352"/>
      <c r="N160" s="348"/>
      <c r="O160" s="277"/>
    </row>
    <row r="161">
      <c r="A161" s="277"/>
      <c r="B161" s="346"/>
      <c r="C161" s="374" t="str">
        <f>E161&amp;F156</f>
        <v>Quote:Quan.600</v>
      </c>
      <c r="D161" s="353" t="s">
        <v>191</v>
      </c>
      <c r="E161" s="354" t="s">
        <v>192</v>
      </c>
      <c r="F161" s="308" t="s">
        <v>215</v>
      </c>
      <c r="J161" s="318"/>
      <c r="K161" s="352"/>
      <c r="L161" s="352"/>
      <c r="M161" s="352"/>
      <c r="N161" s="348"/>
      <c r="O161" s="277"/>
    </row>
    <row r="162">
      <c r="A162" s="274"/>
      <c r="B162" s="346"/>
      <c r="J162" s="318"/>
      <c r="K162" s="352"/>
      <c r="L162" s="352"/>
      <c r="N162" s="348"/>
      <c r="O162" s="274"/>
    </row>
    <row r="163">
      <c r="A163" s="274"/>
      <c r="B163" s="356"/>
      <c r="G163" s="300" t="str">
        <f>If(H163&gt;=0,"🔴","💣")</f>
        <v>🔴</v>
      </c>
      <c r="H163" s="376">
        <v>4.0</v>
      </c>
      <c r="J163" s="318"/>
      <c r="N163" s="348"/>
      <c r="O163" s="274"/>
    </row>
    <row r="164">
      <c r="A164" s="272"/>
      <c r="B164" s="356"/>
      <c r="C164" s="286" t="str">
        <f>G164&amp;F156</f>
        <v>❤️️Quan.600</v>
      </c>
      <c r="D164" s="357"/>
      <c r="E164" s="358"/>
      <c r="F164" s="359"/>
      <c r="G164" s="351" t="s">
        <v>194</v>
      </c>
      <c r="H164" s="309">
        <f>sumif(L167:L180,"complete",K167:K180)-vlookup(F156,ADDSTORE!$M$3:$O$38,3,false)</f>
        <v>0</v>
      </c>
      <c r="J164" s="360"/>
      <c r="K164" s="360"/>
      <c r="N164" s="348"/>
      <c r="O164" s="272"/>
    </row>
    <row r="165">
      <c r="A165" s="272"/>
      <c r="B165" s="317"/>
      <c r="C165" s="318"/>
      <c r="D165" s="361"/>
      <c r="E165" s="318"/>
      <c r="F165" s="362"/>
      <c r="G165" s="318"/>
      <c r="H165" s="318"/>
      <c r="I165" s="318"/>
      <c r="J165" s="318"/>
      <c r="K165" s="318"/>
      <c r="L165" s="363"/>
      <c r="M165" s="363"/>
      <c r="N165" s="348"/>
      <c r="O165" s="272"/>
    </row>
    <row r="166">
      <c r="A166" s="279"/>
      <c r="B166" s="317"/>
      <c r="C166" s="318"/>
      <c r="D166" s="319" t="s">
        <v>195</v>
      </c>
      <c r="E166" s="320"/>
      <c r="F166" s="320"/>
      <c r="G166" s="320"/>
      <c r="H166" s="320"/>
      <c r="I166" s="321" t="s">
        <v>196</v>
      </c>
      <c r="J166" s="322" t="s">
        <v>197</v>
      </c>
      <c r="K166" s="323" t="s">
        <v>198</v>
      </c>
      <c r="L166" s="322" t="s">
        <v>199</v>
      </c>
      <c r="N166" s="348"/>
      <c r="O166" s="279"/>
    </row>
    <row r="167">
      <c r="A167" s="279"/>
      <c r="B167" s="325" t="str">
        <f t="shared" ref="B167:B180" si="11">if(L167="complete","🏅",if(L167="fail","💢",))</f>
        <v/>
      </c>
      <c r="C167" s="180" t="str">
        <f>L167&amp;F156&amp;D167</f>
        <v>Quan.6001</v>
      </c>
      <c r="D167" s="326">
        <v>1.0</v>
      </c>
      <c r="E167" s="327"/>
      <c r="F167" s="328"/>
      <c r="G167" s="328"/>
      <c r="H167" s="328"/>
      <c r="I167" s="329"/>
      <c r="J167" s="330"/>
      <c r="K167" s="365"/>
      <c r="L167" s="364"/>
      <c r="N167" s="348"/>
      <c r="O167" s="279"/>
    </row>
    <row r="168">
      <c r="A168" s="277"/>
      <c r="B168" s="325" t="str">
        <f t="shared" si="11"/>
        <v/>
      </c>
      <c r="C168" s="180" t="str">
        <f>L168&amp;F156&amp;D168</f>
        <v>Quan.6002</v>
      </c>
      <c r="D168" s="326">
        <v>2.0</v>
      </c>
      <c r="E168" s="327"/>
      <c r="F168" s="328"/>
      <c r="G168" s="328"/>
      <c r="H168" s="328"/>
      <c r="I168" s="329"/>
      <c r="J168" s="330"/>
      <c r="K168" s="366"/>
      <c r="L168" s="364"/>
      <c r="N168" s="348"/>
      <c r="O168" s="277"/>
    </row>
    <row r="169">
      <c r="A169" s="277"/>
      <c r="B169" s="325" t="str">
        <f t="shared" si="11"/>
        <v/>
      </c>
      <c r="C169" s="180" t="str">
        <f>L169&amp;F156&amp;D169</f>
        <v>Quan.6003</v>
      </c>
      <c r="D169" s="326">
        <v>3.0</v>
      </c>
      <c r="E169" s="327"/>
      <c r="F169" s="328"/>
      <c r="G169" s="328"/>
      <c r="H169" s="328"/>
      <c r="I169" s="329"/>
      <c r="J169" s="330"/>
      <c r="K169" s="366"/>
      <c r="L169" s="364"/>
      <c r="N169" s="348"/>
      <c r="O169" s="277"/>
    </row>
    <row r="170">
      <c r="A170" s="278"/>
      <c r="B170" s="325" t="str">
        <f t="shared" si="11"/>
        <v/>
      </c>
      <c r="C170" s="180" t="str">
        <f>L170&amp;F156&amp;D170</f>
        <v>Quan.6004</v>
      </c>
      <c r="D170" s="326">
        <v>4.0</v>
      </c>
      <c r="E170" s="327"/>
      <c r="F170" s="328"/>
      <c r="G170" s="328"/>
      <c r="H170" s="328"/>
      <c r="I170" s="329"/>
      <c r="J170" s="330"/>
      <c r="K170" s="365"/>
      <c r="L170" s="364"/>
      <c r="N170" s="348"/>
      <c r="O170" s="278"/>
    </row>
    <row r="171">
      <c r="A171" s="278"/>
      <c r="B171" s="325" t="str">
        <f t="shared" si="11"/>
        <v/>
      </c>
      <c r="C171" s="180" t="str">
        <f>L171&amp;F156&amp;D171</f>
        <v>Quan.6005</v>
      </c>
      <c r="D171" s="326">
        <v>5.0</v>
      </c>
      <c r="E171" s="327"/>
      <c r="F171" s="328"/>
      <c r="G171" s="328"/>
      <c r="H171" s="328"/>
      <c r="I171" s="329"/>
      <c r="J171" s="330"/>
      <c r="K171" s="366"/>
      <c r="L171" s="330"/>
      <c r="N171" s="348"/>
      <c r="O171" s="278"/>
    </row>
    <row r="172">
      <c r="A172" s="279"/>
      <c r="B172" s="325" t="str">
        <f t="shared" si="11"/>
        <v/>
      </c>
      <c r="C172" s="180" t="str">
        <f>L172&amp;F156&amp;D172</f>
        <v>Quan.6006</v>
      </c>
      <c r="D172" s="326">
        <v>6.0</v>
      </c>
      <c r="E172" s="327"/>
      <c r="F172" s="328"/>
      <c r="G172" s="328"/>
      <c r="H172" s="328"/>
      <c r="I172" s="329"/>
      <c r="J172" s="330"/>
      <c r="K172" s="366"/>
      <c r="L172" s="330"/>
      <c r="N172" s="348"/>
      <c r="O172" s="279"/>
    </row>
    <row r="173">
      <c r="A173" s="279"/>
      <c r="B173" s="325" t="str">
        <f t="shared" si="11"/>
        <v/>
      </c>
      <c r="C173" s="180" t="str">
        <f>L173&amp;F156&amp;D173</f>
        <v>Quan.6007</v>
      </c>
      <c r="D173" s="326">
        <v>7.0</v>
      </c>
      <c r="E173" s="327"/>
      <c r="F173" s="328"/>
      <c r="G173" s="328"/>
      <c r="H173" s="328"/>
      <c r="I173" s="329"/>
      <c r="J173" s="330"/>
      <c r="K173" s="366"/>
      <c r="L173" s="330"/>
      <c r="N173" s="348"/>
      <c r="O173" s="279"/>
    </row>
    <row r="174">
      <c r="A174" s="274"/>
      <c r="B174" s="325" t="str">
        <f t="shared" si="11"/>
        <v/>
      </c>
      <c r="C174" s="180" t="str">
        <f>L174&amp;F156&amp;D174</f>
        <v>Quan.6008</v>
      </c>
      <c r="D174" s="326">
        <v>8.0</v>
      </c>
      <c r="E174" s="327"/>
      <c r="F174" s="328"/>
      <c r="G174" s="328"/>
      <c r="H174" s="328"/>
      <c r="I174" s="329"/>
      <c r="J174" s="330"/>
      <c r="K174" s="366"/>
      <c r="L174" s="330"/>
      <c r="N174" s="348"/>
      <c r="O174" s="274"/>
    </row>
    <row r="175">
      <c r="A175" s="274"/>
      <c r="B175" s="325" t="str">
        <f t="shared" si="11"/>
        <v/>
      </c>
      <c r="C175" s="180" t="str">
        <f>L175&amp;F156&amp;D175</f>
        <v>Quan.6009</v>
      </c>
      <c r="D175" s="326">
        <v>9.0</v>
      </c>
      <c r="E175" s="327"/>
      <c r="F175" s="328"/>
      <c r="G175" s="328"/>
      <c r="H175" s="328"/>
      <c r="I175" s="329"/>
      <c r="J175" s="330"/>
      <c r="K175" s="366"/>
      <c r="L175" s="330"/>
      <c r="N175" s="348"/>
      <c r="O175" s="274"/>
    </row>
    <row r="176">
      <c r="A176" s="272"/>
      <c r="B176" s="325" t="str">
        <f t="shared" si="11"/>
        <v/>
      </c>
      <c r="C176" s="180" t="str">
        <f>L176&amp;F156&amp;D176</f>
        <v>Quan.60010</v>
      </c>
      <c r="D176" s="326">
        <v>10.0</v>
      </c>
      <c r="E176" s="327"/>
      <c r="F176" s="328"/>
      <c r="G176" s="328"/>
      <c r="H176" s="328"/>
      <c r="I176" s="329"/>
      <c r="J176" s="330"/>
      <c r="K176" s="366"/>
      <c r="L176" s="330"/>
      <c r="N176" s="348"/>
      <c r="O176" s="272"/>
    </row>
    <row r="177">
      <c r="A177" s="272"/>
      <c r="B177" s="325" t="str">
        <f t="shared" si="11"/>
        <v/>
      </c>
      <c r="C177" s="180" t="str">
        <f>L177&amp;F156&amp;D177</f>
        <v>Quan.60011</v>
      </c>
      <c r="D177" s="326">
        <v>11.0</v>
      </c>
      <c r="E177" s="327"/>
      <c r="F177" s="328"/>
      <c r="G177" s="328"/>
      <c r="H177" s="328"/>
      <c r="I177" s="329"/>
      <c r="J177" s="330"/>
      <c r="K177" s="366"/>
      <c r="L177" s="330"/>
      <c r="N177" s="348"/>
      <c r="O177" s="272"/>
    </row>
    <row r="178">
      <c r="A178" s="279"/>
      <c r="B178" s="325" t="str">
        <f t="shared" si="11"/>
        <v/>
      </c>
      <c r="C178" s="180" t="str">
        <f>L178&amp;F156&amp;D178</f>
        <v>Quan.60012</v>
      </c>
      <c r="D178" s="326">
        <v>12.0</v>
      </c>
      <c r="E178" s="327"/>
      <c r="F178" s="328"/>
      <c r="G178" s="328"/>
      <c r="H178" s="328"/>
      <c r="I178" s="329"/>
      <c r="J178" s="330"/>
      <c r="K178" s="366"/>
      <c r="L178" s="330"/>
      <c r="N178" s="348"/>
      <c r="O178" s="279"/>
    </row>
    <row r="179">
      <c r="A179" s="279"/>
      <c r="B179" s="325" t="str">
        <f t="shared" si="11"/>
        <v/>
      </c>
      <c r="C179" s="180" t="str">
        <f>L179&amp;F156&amp;D179</f>
        <v>Quan.60013</v>
      </c>
      <c r="D179" s="326">
        <v>13.0</v>
      </c>
      <c r="E179" s="327"/>
      <c r="F179" s="328"/>
      <c r="G179" s="328"/>
      <c r="H179" s="328"/>
      <c r="I179" s="329"/>
      <c r="J179" s="330"/>
      <c r="K179" s="366"/>
      <c r="L179" s="330"/>
      <c r="N179" s="348"/>
      <c r="O179" s="279"/>
    </row>
    <row r="180">
      <c r="A180" s="277"/>
      <c r="B180" s="325" t="str">
        <f t="shared" si="11"/>
        <v/>
      </c>
      <c r="C180" s="180" t="str">
        <f>L180&amp;F156&amp;D180</f>
        <v>Quan.60014</v>
      </c>
      <c r="D180" s="326">
        <v>14.0</v>
      </c>
      <c r="E180" s="327"/>
      <c r="F180" s="328"/>
      <c r="G180" s="328"/>
      <c r="H180" s="328"/>
      <c r="I180" s="329"/>
      <c r="J180" s="330"/>
      <c r="K180" s="366"/>
      <c r="L180" s="330"/>
      <c r="N180" s="348"/>
      <c r="O180" s="277"/>
    </row>
    <row r="181">
      <c r="A181" s="277"/>
      <c r="B181" s="367"/>
      <c r="C181" s="368"/>
      <c r="D181" s="369"/>
      <c r="E181" s="368"/>
      <c r="F181" s="370"/>
      <c r="G181" s="368"/>
      <c r="H181" s="368"/>
      <c r="I181" s="368"/>
      <c r="J181" s="368"/>
      <c r="K181" s="368"/>
      <c r="L181" s="368"/>
      <c r="M181" s="368"/>
      <c r="N181" s="371"/>
      <c r="O181" s="277"/>
    </row>
    <row r="182">
      <c r="A182" s="278"/>
      <c r="B182" s="339"/>
      <c r="D182" s="339"/>
      <c r="F182" s="340"/>
      <c r="O182" s="278"/>
    </row>
    <row r="183" ht="9.0" customHeight="1">
      <c r="A183" s="274"/>
      <c r="B183" s="275"/>
      <c r="C183" s="274"/>
      <c r="D183" s="275"/>
      <c r="E183" s="272"/>
      <c r="F183" s="276"/>
      <c r="G183" s="277"/>
      <c r="H183" s="278"/>
      <c r="I183" s="278"/>
      <c r="J183" s="277"/>
      <c r="K183" s="279"/>
      <c r="L183" s="272"/>
      <c r="M183" s="274"/>
      <c r="N183" s="274"/>
      <c r="O183" s="274"/>
    </row>
    <row r="184">
      <c r="A184" s="274"/>
      <c r="B184" s="341"/>
      <c r="C184" s="342"/>
      <c r="D184" s="343"/>
      <c r="E184" s="342"/>
      <c r="F184" s="344"/>
      <c r="G184" s="342"/>
      <c r="H184" s="342"/>
      <c r="I184" s="342"/>
      <c r="J184" s="342"/>
      <c r="K184" s="342"/>
      <c r="L184" s="342"/>
      <c r="M184" s="342"/>
      <c r="N184" s="345"/>
      <c r="O184" s="274"/>
    </row>
    <row r="185">
      <c r="A185" s="274"/>
      <c r="B185" s="346">
        <v>1.0</v>
      </c>
      <c r="D185" s="287" t="s">
        <v>171</v>
      </c>
      <c r="E185" s="347" t="s">
        <v>172</v>
      </c>
      <c r="F185" s="289" t="s">
        <v>56</v>
      </c>
      <c r="G185" s="290"/>
      <c r="J185" s="291"/>
      <c r="N185" s="348"/>
      <c r="O185" s="274"/>
    </row>
    <row r="186">
      <c r="A186" s="272"/>
      <c r="B186" s="346">
        <v>1.0</v>
      </c>
      <c r="C186" s="202" t="str">
        <f>E186&amp;F186</f>
        <v>Nick Name:Lam.600</v>
      </c>
      <c r="D186" s="349" t="s">
        <v>173</v>
      </c>
      <c r="E186" s="347" t="s">
        <v>174</v>
      </c>
      <c r="F186" s="289" t="s">
        <v>9</v>
      </c>
      <c r="J186" s="291" t="s">
        <v>175</v>
      </c>
      <c r="L186" s="298" t="s">
        <v>176</v>
      </c>
      <c r="N186" s="348"/>
      <c r="O186" s="272"/>
    </row>
    <row r="187">
      <c r="A187" s="272"/>
      <c r="B187" s="346">
        <v>1.0</v>
      </c>
      <c r="C187" s="202" t="str">
        <f>E187&amp;F186</f>
        <v>Full Name:Lam.600</v>
      </c>
      <c r="D187" s="349" t="s">
        <v>177</v>
      </c>
      <c r="E187" s="347" t="s">
        <v>178</v>
      </c>
      <c r="F187" s="289" t="s">
        <v>216</v>
      </c>
      <c r="J187" s="291" t="s">
        <v>179</v>
      </c>
      <c r="L187" s="298" t="s">
        <v>211</v>
      </c>
      <c r="N187" s="348"/>
      <c r="O187" s="272"/>
    </row>
    <row r="188">
      <c r="A188" s="279"/>
      <c r="B188" s="346">
        <v>1.0</v>
      </c>
      <c r="C188" s="202" t="str">
        <f>E188&amp;F186</f>
        <v>Position:Lam.600</v>
      </c>
      <c r="D188" s="349" t="s">
        <v>181</v>
      </c>
      <c r="E188" s="347" t="s">
        <v>182</v>
      </c>
      <c r="F188" s="289" t="s">
        <v>214</v>
      </c>
      <c r="J188" s="291" t="s">
        <v>184</v>
      </c>
      <c r="L188" s="298" t="s">
        <v>200</v>
      </c>
      <c r="N188" s="348"/>
      <c r="O188" s="279"/>
    </row>
    <row r="189">
      <c r="A189" s="279"/>
      <c r="B189" s="346">
        <v>1.0</v>
      </c>
      <c r="C189" s="202" t="str">
        <f>E189&amp;F186</f>
        <v>Birth:Lam.600</v>
      </c>
      <c r="D189" s="349" t="s">
        <v>185</v>
      </c>
      <c r="E189" s="347" t="s">
        <v>186</v>
      </c>
      <c r="F189" s="372">
        <v>36526.0</v>
      </c>
      <c r="J189" s="351"/>
      <c r="K189" s="352"/>
      <c r="L189" s="352"/>
      <c r="M189" s="352"/>
      <c r="N189" s="348"/>
      <c r="O189" s="279"/>
    </row>
    <row r="190">
      <c r="A190" s="277"/>
      <c r="B190" s="346">
        <v>1.0</v>
      </c>
      <c r="C190" s="202" t="str">
        <f>E190&amp;F186</f>
        <v>Experience:Lam.600</v>
      </c>
      <c r="D190" s="349" t="s">
        <v>188</v>
      </c>
      <c r="E190" s="347" t="s">
        <v>189</v>
      </c>
      <c r="F190" s="289" t="s">
        <v>200</v>
      </c>
      <c r="J190" s="318"/>
      <c r="K190" s="352"/>
      <c r="L190" s="352"/>
      <c r="M190" s="352"/>
      <c r="N190" s="348"/>
      <c r="O190" s="277"/>
    </row>
    <row r="191">
      <c r="A191" s="277"/>
      <c r="B191" s="346"/>
      <c r="C191" s="374" t="str">
        <f>E191&amp;F186</f>
        <v>Quote:Lam.600</v>
      </c>
      <c r="D191" s="353" t="s">
        <v>191</v>
      </c>
      <c r="E191" s="354" t="s">
        <v>192</v>
      </c>
      <c r="F191" s="308" t="s">
        <v>217</v>
      </c>
      <c r="J191" s="318"/>
      <c r="K191" s="352"/>
      <c r="L191" s="352"/>
      <c r="M191" s="352"/>
      <c r="N191" s="348"/>
      <c r="O191" s="277"/>
    </row>
    <row r="192">
      <c r="A192" s="274"/>
      <c r="B192" s="346"/>
      <c r="J192" s="318"/>
      <c r="K192" s="352"/>
      <c r="L192" s="352"/>
      <c r="N192" s="348"/>
      <c r="O192" s="274"/>
    </row>
    <row r="193">
      <c r="A193" s="274"/>
      <c r="B193" s="356"/>
      <c r="G193" s="300" t="str">
        <f>If(H193&gt;=0,"🔴","💣")</f>
        <v>🔴</v>
      </c>
      <c r="H193" s="309">
        <f>if(F186="...",0,vlookup(F186,Summary!$E:$V,18,false))</f>
        <v>0</v>
      </c>
      <c r="J193" s="318"/>
      <c r="N193" s="348"/>
      <c r="O193" s="274"/>
    </row>
    <row r="194">
      <c r="A194" s="272"/>
      <c r="B194" s="356"/>
      <c r="C194" s="286" t="str">
        <f>G194&amp;F186</f>
        <v>❤️️Lam.600</v>
      </c>
      <c r="D194" s="357"/>
      <c r="E194" s="358"/>
      <c r="F194" s="359"/>
      <c r="G194" s="351" t="s">
        <v>194</v>
      </c>
      <c r="H194" s="309">
        <f>sumif(L197:L210,"complete",K197:K210)-vlookup(F186,ADDSTORE!$M$3:$O$38,3,false)</f>
        <v>0</v>
      </c>
      <c r="J194" s="360"/>
      <c r="K194" s="360"/>
      <c r="N194" s="348"/>
      <c r="O194" s="272"/>
    </row>
    <row r="195">
      <c r="A195" s="272"/>
      <c r="B195" s="317"/>
      <c r="C195" s="318"/>
      <c r="D195" s="361"/>
      <c r="E195" s="318"/>
      <c r="F195" s="362"/>
      <c r="G195" s="318"/>
      <c r="H195" s="318"/>
      <c r="I195" s="318"/>
      <c r="J195" s="318"/>
      <c r="K195" s="318"/>
      <c r="L195" s="363"/>
      <c r="M195" s="363"/>
      <c r="N195" s="348"/>
      <c r="O195" s="272"/>
    </row>
    <row r="196">
      <c r="A196" s="279"/>
      <c r="B196" s="317"/>
      <c r="C196" s="318"/>
      <c r="D196" s="319" t="s">
        <v>195</v>
      </c>
      <c r="E196" s="320"/>
      <c r="F196" s="320"/>
      <c r="G196" s="320"/>
      <c r="H196" s="320"/>
      <c r="I196" s="321" t="s">
        <v>196</v>
      </c>
      <c r="J196" s="322" t="s">
        <v>197</v>
      </c>
      <c r="K196" s="323" t="s">
        <v>198</v>
      </c>
      <c r="L196" s="322" t="s">
        <v>199</v>
      </c>
      <c r="N196" s="348"/>
      <c r="O196" s="279"/>
    </row>
    <row r="197">
      <c r="A197" s="279"/>
      <c r="B197" s="325" t="str">
        <f t="shared" ref="B197:B210" si="12">if(L197="complete","🏅",if(L197="fail","💢",))</f>
        <v/>
      </c>
      <c r="C197" s="180" t="str">
        <f>L197&amp;F186&amp;D197</f>
        <v>Lam.6001</v>
      </c>
      <c r="D197" s="326">
        <v>1.0</v>
      </c>
      <c r="E197" s="327"/>
      <c r="F197" s="328"/>
      <c r="G197" s="328"/>
      <c r="H197" s="328"/>
      <c r="I197" s="329"/>
      <c r="J197" s="364"/>
      <c r="K197" s="365"/>
      <c r="L197" s="364"/>
      <c r="N197" s="348"/>
      <c r="O197" s="279"/>
    </row>
    <row r="198">
      <c r="A198" s="277"/>
      <c r="B198" s="325" t="str">
        <f t="shared" si="12"/>
        <v/>
      </c>
      <c r="C198" s="180" t="str">
        <f>L198&amp;F186&amp;D198</f>
        <v>Lam.6002</v>
      </c>
      <c r="D198" s="326">
        <v>2.0</v>
      </c>
      <c r="E198" s="327"/>
      <c r="F198" s="328"/>
      <c r="G198" s="328"/>
      <c r="H198" s="328"/>
      <c r="I198" s="329"/>
      <c r="J198" s="330"/>
      <c r="K198" s="366"/>
      <c r="L198" s="364"/>
      <c r="N198" s="348"/>
      <c r="O198" s="277"/>
    </row>
    <row r="199">
      <c r="A199" s="277"/>
      <c r="B199" s="325" t="str">
        <f t="shared" si="12"/>
        <v/>
      </c>
      <c r="C199" s="180" t="str">
        <f>L199&amp;F186&amp;D199</f>
        <v>Lam.6003</v>
      </c>
      <c r="D199" s="326">
        <v>3.0</v>
      </c>
      <c r="E199" s="327"/>
      <c r="F199" s="328"/>
      <c r="G199" s="328"/>
      <c r="H199" s="328"/>
      <c r="I199" s="329"/>
      <c r="J199" s="330"/>
      <c r="K199" s="366"/>
      <c r="L199" s="364"/>
      <c r="N199" s="348"/>
      <c r="O199" s="277"/>
    </row>
    <row r="200">
      <c r="A200" s="278"/>
      <c r="B200" s="325" t="str">
        <f t="shared" si="12"/>
        <v/>
      </c>
      <c r="C200" s="180" t="str">
        <f>L200&amp;F186&amp;D200</f>
        <v>Lam.6004</v>
      </c>
      <c r="D200" s="326">
        <v>4.0</v>
      </c>
      <c r="E200" s="327"/>
      <c r="F200" s="328"/>
      <c r="G200" s="328"/>
      <c r="H200" s="328"/>
      <c r="I200" s="329"/>
      <c r="J200" s="330"/>
      <c r="K200" s="365"/>
      <c r="L200" s="364"/>
      <c r="N200" s="348"/>
      <c r="O200" s="278"/>
    </row>
    <row r="201">
      <c r="A201" s="278"/>
      <c r="B201" s="325" t="str">
        <f t="shared" si="12"/>
        <v/>
      </c>
      <c r="C201" s="180" t="str">
        <f>L201&amp;F186&amp;D201</f>
        <v>Lam.6005</v>
      </c>
      <c r="D201" s="326">
        <v>5.0</v>
      </c>
      <c r="E201" s="327"/>
      <c r="F201" s="328"/>
      <c r="G201" s="328"/>
      <c r="H201" s="328"/>
      <c r="I201" s="329"/>
      <c r="J201" s="330"/>
      <c r="K201" s="366"/>
      <c r="L201" s="330"/>
      <c r="N201" s="348"/>
      <c r="O201" s="278"/>
    </row>
    <row r="202">
      <c r="A202" s="279"/>
      <c r="B202" s="325" t="str">
        <f t="shared" si="12"/>
        <v/>
      </c>
      <c r="C202" s="180" t="str">
        <f>L202&amp;F186&amp;D202</f>
        <v>Lam.6006</v>
      </c>
      <c r="D202" s="326">
        <v>6.0</v>
      </c>
      <c r="E202" s="327"/>
      <c r="F202" s="328"/>
      <c r="G202" s="328"/>
      <c r="H202" s="328"/>
      <c r="I202" s="329"/>
      <c r="J202" s="330"/>
      <c r="K202" s="366"/>
      <c r="L202" s="330"/>
      <c r="N202" s="348"/>
      <c r="O202" s="279"/>
    </row>
    <row r="203">
      <c r="A203" s="279"/>
      <c r="B203" s="325" t="str">
        <f t="shared" si="12"/>
        <v/>
      </c>
      <c r="C203" s="180" t="str">
        <f>L203&amp;F186&amp;D203</f>
        <v>Lam.6007</v>
      </c>
      <c r="D203" s="326">
        <v>7.0</v>
      </c>
      <c r="E203" s="327"/>
      <c r="F203" s="328"/>
      <c r="G203" s="328"/>
      <c r="H203" s="328"/>
      <c r="I203" s="329"/>
      <c r="J203" s="330"/>
      <c r="K203" s="366"/>
      <c r="L203" s="330"/>
      <c r="N203" s="348"/>
      <c r="O203" s="279"/>
    </row>
    <row r="204">
      <c r="A204" s="274"/>
      <c r="B204" s="325" t="str">
        <f t="shared" si="12"/>
        <v/>
      </c>
      <c r="C204" s="180" t="str">
        <f>L204&amp;F186&amp;D204</f>
        <v>Lam.6008</v>
      </c>
      <c r="D204" s="326">
        <v>8.0</v>
      </c>
      <c r="E204" s="327"/>
      <c r="F204" s="328"/>
      <c r="G204" s="328"/>
      <c r="H204" s="328"/>
      <c r="I204" s="329"/>
      <c r="J204" s="330"/>
      <c r="K204" s="366"/>
      <c r="L204" s="330"/>
      <c r="N204" s="348"/>
      <c r="O204" s="274"/>
    </row>
    <row r="205">
      <c r="A205" s="274"/>
      <c r="B205" s="325" t="str">
        <f t="shared" si="12"/>
        <v/>
      </c>
      <c r="C205" s="180" t="str">
        <f>L205&amp;F186&amp;D205</f>
        <v>Lam.6009</v>
      </c>
      <c r="D205" s="326">
        <v>9.0</v>
      </c>
      <c r="E205" s="327"/>
      <c r="F205" s="328"/>
      <c r="G205" s="328"/>
      <c r="H205" s="328"/>
      <c r="I205" s="329"/>
      <c r="J205" s="330"/>
      <c r="K205" s="366"/>
      <c r="L205" s="330"/>
      <c r="N205" s="348"/>
      <c r="O205" s="274"/>
    </row>
    <row r="206">
      <c r="A206" s="272"/>
      <c r="B206" s="325" t="str">
        <f t="shared" si="12"/>
        <v/>
      </c>
      <c r="C206" s="180" t="str">
        <f>L206&amp;F186&amp;D206</f>
        <v>Lam.60010</v>
      </c>
      <c r="D206" s="326">
        <v>10.0</v>
      </c>
      <c r="E206" s="327"/>
      <c r="F206" s="328"/>
      <c r="G206" s="328"/>
      <c r="H206" s="328"/>
      <c r="I206" s="329"/>
      <c r="J206" s="330"/>
      <c r="K206" s="366"/>
      <c r="L206" s="330"/>
      <c r="N206" s="348"/>
      <c r="O206" s="272"/>
    </row>
    <row r="207">
      <c r="A207" s="272"/>
      <c r="B207" s="325" t="str">
        <f t="shared" si="12"/>
        <v/>
      </c>
      <c r="C207" s="180" t="str">
        <f>L207&amp;F186&amp;D207</f>
        <v>Lam.60011</v>
      </c>
      <c r="D207" s="326">
        <v>11.0</v>
      </c>
      <c r="E207" s="327"/>
      <c r="F207" s="328"/>
      <c r="G207" s="328"/>
      <c r="H207" s="328"/>
      <c r="I207" s="329"/>
      <c r="J207" s="330"/>
      <c r="K207" s="366"/>
      <c r="L207" s="330"/>
      <c r="N207" s="348"/>
      <c r="O207" s="272"/>
    </row>
    <row r="208">
      <c r="A208" s="279"/>
      <c r="B208" s="325" t="str">
        <f t="shared" si="12"/>
        <v/>
      </c>
      <c r="C208" s="180" t="str">
        <f>L208&amp;F186&amp;D208</f>
        <v>Lam.60012</v>
      </c>
      <c r="D208" s="326">
        <v>12.0</v>
      </c>
      <c r="E208" s="327"/>
      <c r="F208" s="328"/>
      <c r="G208" s="328"/>
      <c r="H208" s="328"/>
      <c r="I208" s="329"/>
      <c r="J208" s="330"/>
      <c r="K208" s="366"/>
      <c r="L208" s="330"/>
      <c r="N208" s="348"/>
      <c r="O208" s="279"/>
    </row>
    <row r="209">
      <c r="A209" s="279"/>
      <c r="B209" s="325" t="str">
        <f t="shared" si="12"/>
        <v/>
      </c>
      <c r="C209" s="180" t="str">
        <f>L209&amp;F186&amp;D209</f>
        <v>Lam.60013</v>
      </c>
      <c r="D209" s="326">
        <v>13.0</v>
      </c>
      <c r="E209" s="327"/>
      <c r="F209" s="328"/>
      <c r="G209" s="328"/>
      <c r="H209" s="328"/>
      <c r="I209" s="329"/>
      <c r="J209" s="330"/>
      <c r="K209" s="366"/>
      <c r="L209" s="330"/>
      <c r="N209" s="348"/>
      <c r="O209" s="279"/>
    </row>
    <row r="210">
      <c r="A210" s="277"/>
      <c r="B210" s="325" t="str">
        <f t="shared" si="12"/>
        <v/>
      </c>
      <c r="C210" s="180" t="str">
        <f>L210&amp;F186&amp;D210</f>
        <v>Lam.60014</v>
      </c>
      <c r="D210" s="326">
        <v>14.0</v>
      </c>
      <c r="E210" s="327"/>
      <c r="F210" s="328"/>
      <c r="G210" s="328"/>
      <c r="H210" s="328"/>
      <c r="I210" s="329"/>
      <c r="J210" s="330"/>
      <c r="K210" s="366"/>
      <c r="L210" s="330"/>
      <c r="N210" s="348"/>
      <c r="O210" s="277"/>
    </row>
    <row r="211">
      <c r="A211" s="277"/>
      <c r="B211" s="367"/>
      <c r="C211" s="368"/>
      <c r="D211" s="369"/>
      <c r="E211" s="368"/>
      <c r="F211" s="370"/>
      <c r="G211" s="368"/>
      <c r="H211" s="368"/>
      <c r="I211" s="368"/>
      <c r="J211" s="368"/>
      <c r="K211" s="368"/>
      <c r="L211" s="368"/>
      <c r="M211" s="368"/>
      <c r="N211" s="371"/>
      <c r="O211" s="277"/>
    </row>
    <row r="212">
      <c r="A212" s="278"/>
      <c r="B212" s="339"/>
      <c r="D212" s="339"/>
      <c r="F212" s="340"/>
      <c r="O212" s="278"/>
    </row>
    <row r="213" ht="9.0" hidden="1" customHeight="1">
      <c r="A213" s="274"/>
      <c r="B213" s="275"/>
      <c r="C213" s="274"/>
      <c r="D213" s="275"/>
      <c r="E213" s="272"/>
      <c r="F213" s="276"/>
      <c r="G213" s="277"/>
      <c r="H213" s="278"/>
      <c r="I213" s="278"/>
      <c r="J213" s="277"/>
      <c r="K213" s="279"/>
      <c r="L213" s="272"/>
      <c r="M213" s="274"/>
      <c r="N213" s="274"/>
      <c r="O213" s="274"/>
    </row>
    <row r="214" hidden="1">
      <c r="A214" s="274"/>
      <c r="B214" s="341"/>
      <c r="C214" s="342"/>
      <c r="D214" s="343"/>
      <c r="E214" s="342"/>
      <c r="F214" s="344"/>
      <c r="G214" s="342"/>
      <c r="H214" s="342"/>
      <c r="I214" s="342"/>
      <c r="J214" s="342"/>
      <c r="K214" s="342"/>
      <c r="L214" s="342"/>
      <c r="M214" s="342"/>
      <c r="N214" s="345"/>
      <c r="O214" s="274"/>
    </row>
    <row r="215" hidden="1">
      <c r="A215" s="274"/>
      <c r="B215" s="346">
        <v>1.0</v>
      </c>
      <c r="D215" s="287" t="s">
        <v>171</v>
      </c>
      <c r="E215" s="347" t="s">
        <v>172</v>
      </c>
      <c r="F215" s="289" t="s">
        <v>218</v>
      </c>
      <c r="G215" s="290"/>
      <c r="J215" s="291"/>
      <c r="N215" s="348"/>
      <c r="O215" s="274"/>
    </row>
    <row r="216" hidden="1">
      <c r="A216" s="272"/>
      <c r="B216" s="346">
        <v>1.0</v>
      </c>
      <c r="C216" s="202" t="str">
        <f>E216&amp;F216</f>
        <v>Nick Name:Giang.600</v>
      </c>
      <c r="D216" s="349" t="s">
        <v>173</v>
      </c>
      <c r="E216" s="347" t="s">
        <v>174</v>
      </c>
      <c r="F216" s="289" t="s">
        <v>219</v>
      </c>
      <c r="J216" s="291" t="s">
        <v>175</v>
      </c>
      <c r="L216" s="298" t="s">
        <v>220</v>
      </c>
      <c r="N216" s="348"/>
      <c r="O216" s="272"/>
    </row>
    <row r="217" hidden="1">
      <c r="A217" s="272"/>
      <c r="B217" s="346">
        <v>1.0</v>
      </c>
      <c r="C217" s="202" t="str">
        <f>E217&amp;F216</f>
        <v>Full Name:Giang.600</v>
      </c>
      <c r="D217" s="349" t="s">
        <v>177</v>
      </c>
      <c r="E217" s="347" t="s">
        <v>178</v>
      </c>
      <c r="F217" s="289" t="s">
        <v>221</v>
      </c>
      <c r="J217" s="291" t="s">
        <v>179</v>
      </c>
      <c r="L217" s="298" t="s">
        <v>200</v>
      </c>
      <c r="N217" s="348"/>
      <c r="O217" s="272"/>
    </row>
    <row r="218" hidden="1">
      <c r="A218" s="279"/>
      <c r="B218" s="346">
        <v>1.0</v>
      </c>
      <c r="C218" s="202" t="str">
        <f>E218&amp;F216</f>
        <v>Position:Giang.600</v>
      </c>
      <c r="D218" s="349" t="s">
        <v>181</v>
      </c>
      <c r="E218" s="347" t="s">
        <v>182</v>
      </c>
      <c r="F218" s="289" t="s">
        <v>214</v>
      </c>
      <c r="J218" s="291" t="s">
        <v>184</v>
      </c>
      <c r="L218" s="298" t="s">
        <v>200</v>
      </c>
      <c r="N218" s="348"/>
      <c r="O218" s="279"/>
    </row>
    <row r="219" hidden="1">
      <c r="A219" s="279"/>
      <c r="B219" s="346">
        <v>1.0</v>
      </c>
      <c r="C219" s="202" t="str">
        <f>E219&amp;F216</f>
        <v>Birth:Giang.600</v>
      </c>
      <c r="D219" s="349" t="s">
        <v>185</v>
      </c>
      <c r="E219" s="347" t="s">
        <v>186</v>
      </c>
      <c r="F219" s="289">
        <v>1995.0</v>
      </c>
      <c r="J219" s="351"/>
      <c r="K219" s="352"/>
      <c r="L219" s="352"/>
      <c r="M219" s="352"/>
      <c r="N219" s="348"/>
      <c r="O219" s="279"/>
    </row>
    <row r="220" hidden="1">
      <c r="A220" s="277"/>
      <c r="B220" s="346">
        <v>1.0</v>
      </c>
      <c r="C220" s="202" t="str">
        <f>E220&amp;F216</f>
        <v>Experience:Giang.600</v>
      </c>
      <c r="D220" s="349" t="s">
        <v>188</v>
      </c>
      <c r="E220" s="347" t="s">
        <v>189</v>
      </c>
      <c r="F220" s="289" t="s">
        <v>222</v>
      </c>
      <c r="J220" s="318"/>
      <c r="K220" s="352"/>
      <c r="L220" s="352"/>
      <c r="M220" s="352"/>
      <c r="N220" s="348"/>
      <c r="O220" s="277"/>
    </row>
    <row r="221" hidden="1">
      <c r="A221" s="277"/>
      <c r="B221" s="346"/>
      <c r="C221" s="374" t="str">
        <f>E221&amp;F216</f>
        <v>Quote:Giang.600</v>
      </c>
      <c r="D221" s="353" t="s">
        <v>191</v>
      </c>
      <c r="E221" s="354" t="s">
        <v>192</v>
      </c>
      <c r="F221" s="377" t="s">
        <v>223</v>
      </c>
      <c r="J221" s="318"/>
      <c r="K221" s="352"/>
      <c r="L221" s="352"/>
      <c r="M221" s="352"/>
      <c r="N221" s="348"/>
      <c r="O221" s="277"/>
    </row>
    <row r="222" hidden="1">
      <c r="A222" s="274"/>
      <c r="B222" s="346"/>
      <c r="J222" s="318"/>
      <c r="K222" s="352"/>
      <c r="L222" s="352"/>
      <c r="N222" s="348"/>
      <c r="O222" s="274"/>
    </row>
    <row r="223" ht="21.0" hidden="1" customHeight="1">
      <c r="A223" s="274"/>
      <c r="B223" s="356"/>
      <c r="G223" s="300" t="str">
        <f>If(H223&gt;=0,"🔴","💣")</f>
        <v>#N/A</v>
      </c>
      <c r="H223" s="309" t="str">
        <f>if(F216="...",0,vlookup(F216,Summary!$E:$V,18,false))</f>
        <v>#N/A</v>
      </c>
      <c r="J223" s="318"/>
      <c r="N223" s="348"/>
      <c r="O223" s="274"/>
    </row>
    <row r="224" hidden="1">
      <c r="A224" s="272"/>
      <c r="B224" s="356"/>
      <c r="C224" s="286" t="str">
        <f>G224&amp;F216</f>
        <v>❤️️Giang.600</v>
      </c>
      <c r="D224" s="357"/>
      <c r="E224" s="358"/>
      <c r="F224" s="359"/>
      <c r="G224" s="351" t="s">
        <v>194</v>
      </c>
      <c r="H224" s="309" t="str">
        <f>sumif(L227:L240,"complete",K227:K240)-vlookup(F216,ADDSTORE!$M$3:$O$38,3,false)</f>
        <v>#N/A</v>
      </c>
      <c r="J224" s="360"/>
      <c r="K224" s="360"/>
      <c r="N224" s="348"/>
      <c r="O224" s="272"/>
    </row>
    <row r="225" hidden="1">
      <c r="A225" s="272"/>
      <c r="B225" s="317"/>
      <c r="C225" s="318"/>
      <c r="D225" s="361"/>
      <c r="E225" s="318"/>
      <c r="F225" s="362"/>
      <c r="G225" s="318"/>
      <c r="H225" s="318"/>
      <c r="I225" s="318"/>
      <c r="J225" s="318"/>
      <c r="K225" s="318"/>
      <c r="L225" s="363"/>
      <c r="M225" s="363"/>
      <c r="N225" s="348"/>
      <c r="O225" s="272"/>
    </row>
    <row r="226" hidden="1">
      <c r="A226" s="279"/>
      <c r="B226" s="317"/>
      <c r="C226" s="318"/>
      <c r="D226" s="319" t="s">
        <v>195</v>
      </c>
      <c r="E226" s="320"/>
      <c r="F226" s="320"/>
      <c r="G226" s="320"/>
      <c r="H226" s="320"/>
      <c r="I226" s="321" t="s">
        <v>196</v>
      </c>
      <c r="J226" s="322" t="s">
        <v>197</v>
      </c>
      <c r="K226" s="323" t="s">
        <v>198</v>
      </c>
      <c r="L226" s="322" t="s">
        <v>199</v>
      </c>
      <c r="N226" s="348"/>
      <c r="O226" s="279"/>
    </row>
    <row r="227" hidden="1">
      <c r="A227" s="279"/>
      <c r="B227" s="325" t="str">
        <f t="shared" ref="B227:B240" si="13">if(L227="complete","🏅",if(L227="fail","💢",))</f>
        <v/>
      </c>
      <c r="C227" s="180" t="str">
        <f>L227&amp;F216&amp;D227</f>
        <v>Giang.6001</v>
      </c>
      <c r="D227" s="326">
        <v>1.0</v>
      </c>
      <c r="E227" s="327"/>
      <c r="F227" s="328"/>
      <c r="G227" s="328"/>
      <c r="H227" s="328"/>
      <c r="I227" s="329"/>
      <c r="J227" s="330"/>
      <c r="K227" s="365"/>
      <c r="L227" s="364"/>
      <c r="N227" s="348"/>
      <c r="O227" s="279"/>
    </row>
    <row r="228" hidden="1">
      <c r="A228" s="277"/>
      <c r="B228" s="325" t="str">
        <f t="shared" si="13"/>
        <v/>
      </c>
      <c r="C228" s="180" t="str">
        <f>L228&amp;F216&amp;D228</f>
        <v>Giang.6002</v>
      </c>
      <c r="D228" s="326">
        <v>2.0</v>
      </c>
      <c r="E228" s="327"/>
      <c r="F228" s="328"/>
      <c r="G228" s="328"/>
      <c r="H228" s="328"/>
      <c r="I228" s="329"/>
      <c r="J228" s="330"/>
      <c r="K228" s="366"/>
      <c r="L228" s="364"/>
      <c r="N228" s="348"/>
      <c r="O228" s="277"/>
    </row>
    <row r="229" hidden="1">
      <c r="A229" s="277"/>
      <c r="B229" s="325" t="str">
        <f t="shared" si="13"/>
        <v/>
      </c>
      <c r="C229" s="180" t="str">
        <f>L229&amp;F216&amp;D229</f>
        <v>Giang.6003</v>
      </c>
      <c r="D229" s="326">
        <v>3.0</v>
      </c>
      <c r="E229" s="327"/>
      <c r="F229" s="328"/>
      <c r="G229" s="328"/>
      <c r="H229" s="328"/>
      <c r="I229" s="329"/>
      <c r="J229" s="330"/>
      <c r="K229" s="366"/>
      <c r="L229" s="364"/>
      <c r="N229" s="348"/>
      <c r="O229" s="277"/>
    </row>
    <row r="230" hidden="1">
      <c r="A230" s="278"/>
      <c r="B230" s="325" t="str">
        <f t="shared" si="13"/>
        <v/>
      </c>
      <c r="C230" s="180" t="str">
        <f>L230&amp;F216&amp;D230</f>
        <v>Giang.6004</v>
      </c>
      <c r="D230" s="326">
        <v>4.0</v>
      </c>
      <c r="E230" s="327"/>
      <c r="F230" s="328"/>
      <c r="G230" s="328"/>
      <c r="H230" s="328"/>
      <c r="I230" s="329"/>
      <c r="J230" s="330"/>
      <c r="K230" s="365"/>
      <c r="L230" s="364"/>
      <c r="N230" s="348"/>
      <c r="O230" s="278"/>
    </row>
    <row r="231" hidden="1">
      <c r="A231" s="278"/>
      <c r="B231" s="325" t="str">
        <f t="shared" si="13"/>
        <v/>
      </c>
      <c r="C231" s="180" t="str">
        <f>L231&amp;F216&amp;D231</f>
        <v>Giang.6005</v>
      </c>
      <c r="D231" s="326">
        <v>5.0</v>
      </c>
      <c r="E231" s="327"/>
      <c r="F231" s="328"/>
      <c r="G231" s="328"/>
      <c r="H231" s="328"/>
      <c r="I231" s="329"/>
      <c r="J231" s="330"/>
      <c r="K231" s="366"/>
      <c r="L231" s="330"/>
      <c r="N231" s="348"/>
      <c r="O231" s="278"/>
    </row>
    <row r="232" hidden="1">
      <c r="A232" s="279"/>
      <c r="B232" s="325" t="str">
        <f t="shared" si="13"/>
        <v/>
      </c>
      <c r="C232" s="180" t="str">
        <f>L232&amp;F216&amp;D232</f>
        <v>Giang.6006</v>
      </c>
      <c r="D232" s="326">
        <v>6.0</v>
      </c>
      <c r="E232" s="327"/>
      <c r="F232" s="328"/>
      <c r="G232" s="328"/>
      <c r="H232" s="328"/>
      <c r="I232" s="329"/>
      <c r="J232" s="330"/>
      <c r="K232" s="366"/>
      <c r="L232" s="330"/>
      <c r="N232" s="348"/>
      <c r="O232" s="279"/>
    </row>
    <row r="233" hidden="1">
      <c r="A233" s="279"/>
      <c r="B233" s="325" t="str">
        <f t="shared" si="13"/>
        <v/>
      </c>
      <c r="C233" s="180" t="str">
        <f>L233&amp;F216&amp;D233</f>
        <v>Giang.6007</v>
      </c>
      <c r="D233" s="326">
        <v>7.0</v>
      </c>
      <c r="E233" s="327"/>
      <c r="F233" s="328"/>
      <c r="G233" s="328"/>
      <c r="H233" s="328"/>
      <c r="I233" s="329"/>
      <c r="J233" s="330"/>
      <c r="K233" s="366"/>
      <c r="L233" s="330"/>
      <c r="N233" s="348"/>
      <c r="O233" s="279"/>
    </row>
    <row r="234" hidden="1">
      <c r="A234" s="274"/>
      <c r="B234" s="325" t="str">
        <f t="shared" si="13"/>
        <v/>
      </c>
      <c r="C234" s="180" t="str">
        <f>L234&amp;F216&amp;D234</f>
        <v>Giang.6008</v>
      </c>
      <c r="D234" s="326">
        <v>8.0</v>
      </c>
      <c r="E234" s="327"/>
      <c r="F234" s="328"/>
      <c r="G234" s="328"/>
      <c r="H234" s="328"/>
      <c r="I234" s="329"/>
      <c r="J234" s="330"/>
      <c r="K234" s="366"/>
      <c r="L234" s="330"/>
      <c r="N234" s="348"/>
      <c r="O234" s="274"/>
    </row>
    <row r="235" hidden="1">
      <c r="A235" s="274"/>
      <c r="B235" s="325" t="str">
        <f t="shared" si="13"/>
        <v/>
      </c>
      <c r="C235" s="180" t="str">
        <f>L235&amp;F216&amp;D235</f>
        <v>Giang.6009</v>
      </c>
      <c r="D235" s="326">
        <v>9.0</v>
      </c>
      <c r="E235" s="327"/>
      <c r="F235" s="328"/>
      <c r="G235" s="328"/>
      <c r="H235" s="328"/>
      <c r="I235" s="329"/>
      <c r="J235" s="330"/>
      <c r="K235" s="366"/>
      <c r="L235" s="330"/>
      <c r="N235" s="348"/>
      <c r="O235" s="274"/>
    </row>
    <row r="236" hidden="1">
      <c r="A236" s="272"/>
      <c r="B236" s="325" t="str">
        <f t="shared" si="13"/>
        <v/>
      </c>
      <c r="C236" s="180" t="str">
        <f>L236&amp;F216&amp;D236</f>
        <v>Giang.60010</v>
      </c>
      <c r="D236" s="326">
        <v>10.0</v>
      </c>
      <c r="E236" s="327"/>
      <c r="F236" s="328"/>
      <c r="G236" s="328"/>
      <c r="H236" s="328"/>
      <c r="I236" s="329"/>
      <c r="J236" s="330"/>
      <c r="K236" s="366"/>
      <c r="L236" s="330"/>
      <c r="N236" s="348"/>
      <c r="O236" s="272"/>
    </row>
    <row r="237" hidden="1">
      <c r="A237" s="272"/>
      <c r="B237" s="325" t="str">
        <f t="shared" si="13"/>
        <v/>
      </c>
      <c r="C237" s="180" t="str">
        <f>L237&amp;F216&amp;D237</f>
        <v>Giang.60011</v>
      </c>
      <c r="D237" s="326">
        <v>11.0</v>
      </c>
      <c r="E237" s="327"/>
      <c r="F237" s="328"/>
      <c r="G237" s="328"/>
      <c r="H237" s="328"/>
      <c r="I237" s="329"/>
      <c r="J237" s="330"/>
      <c r="K237" s="366"/>
      <c r="L237" s="330"/>
      <c r="N237" s="348"/>
      <c r="O237" s="272"/>
    </row>
    <row r="238" hidden="1">
      <c r="A238" s="279"/>
      <c r="B238" s="325" t="str">
        <f t="shared" si="13"/>
        <v/>
      </c>
      <c r="C238" s="180" t="str">
        <f>L238&amp;F216&amp;D238</f>
        <v>Giang.60012</v>
      </c>
      <c r="D238" s="326">
        <v>12.0</v>
      </c>
      <c r="E238" s="327"/>
      <c r="F238" s="328"/>
      <c r="G238" s="328"/>
      <c r="H238" s="328"/>
      <c r="I238" s="329"/>
      <c r="J238" s="330"/>
      <c r="K238" s="366"/>
      <c r="L238" s="330"/>
      <c r="N238" s="348"/>
      <c r="O238" s="279"/>
    </row>
    <row r="239" hidden="1">
      <c r="A239" s="279"/>
      <c r="B239" s="325" t="str">
        <f t="shared" si="13"/>
        <v/>
      </c>
      <c r="C239" s="180" t="str">
        <f>L239&amp;F216&amp;D239</f>
        <v>Giang.60013</v>
      </c>
      <c r="D239" s="326">
        <v>13.0</v>
      </c>
      <c r="E239" s="327"/>
      <c r="F239" s="328"/>
      <c r="G239" s="328"/>
      <c r="H239" s="328"/>
      <c r="I239" s="329"/>
      <c r="J239" s="330"/>
      <c r="K239" s="366"/>
      <c r="L239" s="330"/>
      <c r="N239" s="348"/>
      <c r="O239" s="279"/>
    </row>
    <row r="240" hidden="1">
      <c r="A240" s="277"/>
      <c r="B240" s="325" t="str">
        <f t="shared" si="13"/>
        <v/>
      </c>
      <c r="C240" s="180" t="str">
        <f>L240&amp;F216&amp;D240</f>
        <v>Giang.60014</v>
      </c>
      <c r="D240" s="326">
        <v>14.0</v>
      </c>
      <c r="E240" s="327"/>
      <c r="F240" s="328"/>
      <c r="G240" s="328"/>
      <c r="H240" s="328"/>
      <c r="I240" s="329"/>
      <c r="J240" s="330"/>
      <c r="K240" s="366"/>
      <c r="L240" s="330"/>
      <c r="N240" s="348"/>
      <c r="O240" s="277"/>
    </row>
    <row r="241" hidden="1">
      <c r="A241" s="277"/>
      <c r="B241" s="367"/>
      <c r="C241" s="368"/>
      <c r="D241" s="369"/>
      <c r="E241" s="368"/>
      <c r="F241" s="370"/>
      <c r="G241" s="368"/>
      <c r="H241" s="368"/>
      <c r="I241" s="368"/>
      <c r="J241" s="368"/>
      <c r="K241" s="368"/>
      <c r="L241" s="368"/>
      <c r="M241" s="368"/>
      <c r="N241" s="371"/>
      <c r="O241" s="277"/>
    </row>
    <row r="242" hidden="1">
      <c r="A242" s="278"/>
      <c r="B242" s="339"/>
      <c r="D242" s="339"/>
      <c r="F242" s="340"/>
      <c r="O242" s="278"/>
    </row>
    <row r="243" ht="9.0" customHeight="1">
      <c r="A243" s="274"/>
      <c r="B243" s="275"/>
      <c r="C243" s="274"/>
      <c r="D243" s="275"/>
      <c r="E243" s="272"/>
      <c r="F243" s="276"/>
      <c r="G243" s="277"/>
      <c r="H243" s="278"/>
      <c r="I243" s="278"/>
      <c r="J243" s="277"/>
      <c r="K243" s="279"/>
      <c r="L243" s="272"/>
      <c r="M243" s="274"/>
      <c r="N243" s="274"/>
      <c r="O243" s="274"/>
    </row>
    <row r="244">
      <c r="A244" s="274"/>
      <c r="B244" s="341"/>
      <c r="C244" s="342"/>
      <c r="D244" s="343"/>
      <c r="E244" s="342"/>
      <c r="F244" s="344"/>
      <c r="G244" s="342"/>
      <c r="H244" s="342"/>
      <c r="I244" s="342"/>
      <c r="J244" s="342"/>
      <c r="K244" s="342"/>
      <c r="L244" s="342"/>
      <c r="M244" s="342"/>
      <c r="N244" s="345"/>
      <c r="O244" s="274"/>
    </row>
    <row r="245">
      <c r="A245" s="274"/>
      <c r="B245" s="346">
        <v>1.0</v>
      </c>
      <c r="D245" s="287" t="s">
        <v>171</v>
      </c>
      <c r="E245" s="347" t="s">
        <v>172</v>
      </c>
      <c r="F245" s="289" t="s">
        <v>224</v>
      </c>
      <c r="G245" s="378"/>
      <c r="J245" s="291"/>
      <c r="N245" s="348"/>
      <c r="O245" s="274"/>
    </row>
    <row r="246">
      <c r="A246" s="272"/>
      <c r="B246" s="346">
        <v>1.0</v>
      </c>
      <c r="C246" s="202" t="str">
        <f>E246&amp;F246</f>
        <v>Nick Name:Trung.600</v>
      </c>
      <c r="D246" s="349" t="s">
        <v>173</v>
      </c>
      <c r="E246" s="347" t="s">
        <v>174</v>
      </c>
      <c r="F246" s="379" t="s">
        <v>225</v>
      </c>
      <c r="J246" s="291" t="s">
        <v>175</v>
      </c>
      <c r="L246" s="298" t="s">
        <v>226</v>
      </c>
      <c r="N246" s="348"/>
      <c r="O246" s="272"/>
    </row>
    <row r="247">
      <c r="A247" s="272"/>
      <c r="B247" s="346">
        <v>1.0</v>
      </c>
      <c r="C247" s="202" t="str">
        <f>E247&amp;F246</f>
        <v>Full Name:Trung.600</v>
      </c>
      <c r="D247" s="349" t="s">
        <v>177</v>
      </c>
      <c r="E247" s="347" t="s">
        <v>178</v>
      </c>
      <c r="F247" s="379" t="s">
        <v>227</v>
      </c>
      <c r="J247" s="291" t="s">
        <v>179</v>
      </c>
      <c r="L247" s="298" t="s">
        <v>210</v>
      </c>
      <c r="N247" s="348"/>
      <c r="O247" s="272"/>
    </row>
    <row r="248">
      <c r="A248" s="279"/>
      <c r="B248" s="346">
        <v>1.0</v>
      </c>
      <c r="C248" s="202" t="str">
        <f>E248&amp;F246</f>
        <v>Position:Trung.600</v>
      </c>
      <c r="D248" s="349" t="s">
        <v>181</v>
      </c>
      <c r="E248" s="347" t="s">
        <v>182</v>
      </c>
      <c r="F248" s="379" t="s">
        <v>214</v>
      </c>
      <c r="J248" s="291" t="s">
        <v>184</v>
      </c>
      <c r="L248" s="298" t="s">
        <v>180</v>
      </c>
      <c r="N248" s="348"/>
      <c r="O248" s="279"/>
    </row>
    <row r="249">
      <c r="A249" s="279"/>
      <c r="B249" s="346">
        <v>1.0</v>
      </c>
      <c r="C249" s="202" t="str">
        <f>E249&amp;F246</f>
        <v>Birth:Trung.600</v>
      </c>
      <c r="D249" s="349" t="s">
        <v>185</v>
      </c>
      <c r="E249" s="347" t="s">
        <v>186</v>
      </c>
      <c r="F249" s="379"/>
      <c r="J249" s="351"/>
      <c r="K249" s="352"/>
      <c r="L249" s="352"/>
      <c r="M249" s="352"/>
      <c r="N249" s="348"/>
      <c r="O249" s="279"/>
    </row>
    <row r="250">
      <c r="A250" s="277"/>
      <c r="B250" s="346">
        <v>1.0</v>
      </c>
      <c r="C250" s="202" t="str">
        <f>E250&amp;F246</f>
        <v>Experience:Trung.600</v>
      </c>
      <c r="D250" s="349" t="s">
        <v>188</v>
      </c>
      <c r="E250" s="347" t="s">
        <v>189</v>
      </c>
      <c r="F250" s="379"/>
      <c r="J250" s="318"/>
      <c r="K250" s="352"/>
      <c r="L250" s="352"/>
      <c r="M250" s="352"/>
      <c r="N250" s="348"/>
      <c r="O250" s="277"/>
    </row>
    <row r="251">
      <c r="A251" s="277"/>
      <c r="B251" s="346"/>
      <c r="C251" s="374" t="str">
        <f>E251&amp;F246</f>
        <v>Quote:Trung.600</v>
      </c>
      <c r="D251" s="353" t="s">
        <v>191</v>
      </c>
      <c r="E251" s="354" t="s">
        <v>192</v>
      </c>
      <c r="F251" s="380" t="s">
        <v>228</v>
      </c>
      <c r="J251" s="318"/>
      <c r="K251" s="352"/>
      <c r="L251" s="352"/>
      <c r="M251" s="352"/>
      <c r="N251" s="348"/>
      <c r="O251" s="277"/>
    </row>
    <row r="252">
      <c r="A252" s="274"/>
      <c r="B252" s="346"/>
      <c r="J252" s="318"/>
      <c r="K252" s="352"/>
      <c r="L252" s="352"/>
      <c r="N252" s="348"/>
      <c r="O252" s="274"/>
    </row>
    <row r="253">
      <c r="A253" s="274"/>
      <c r="B253" s="356"/>
      <c r="G253" s="300" t="str">
        <f>If(H253&gt;=0,"🔴","💣")</f>
        <v>#N/A</v>
      </c>
      <c r="H253" s="309" t="str">
        <f>if(F246="...",0,vlookup(F246,Summary!$E:$V,18,false))</f>
        <v>#N/A</v>
      </c>
      <c r="J253" s="318"/>
      <c r="N253" s="348"/>
      <c r="O253" s="274"/>
    </row>
    <row r="254">
      <c r="A254" s="272"/>
      <c r="B254" s="356"/>
      <c r="C254" s="286" t="str">
        <f>G254&amp;F246</f>
        <v>❤️️Trung.600</v>
      </c>
      <c r="D254" s="357"/>
      <c r="E254" s="358"/>
      <c r="F254" s="359"/>
      <c r="G254" s="351" t="s">
        <v>194</v>
      </c>
      <c r="H254" s="309" t="str">
        <f>sumif(L257:L270,"complete",K257:K270)-vlookup(F246,ADDSTORE!$M$3:$O$38,3,false)</f>
        <v>#N/A</v>
      </c>
      <c r="J254" s="360"/>
      <c r="K254" s="360"/>
      <c r="N254" s="348"/>
      <c r="O254" s="272"/>
    </row>
    <row r="255">
      <c r="A255" s="272"/>
      <c r="B255" s="317"/>
      <c r="C255" s="318"/>
      <c r="D255" s="361"/>
      <c r="E255" s="318"/>
      <c r="F255" s="362"/>
      <c r="G255" s="318"/>
      <c r="H255" s="318"/>
      <c r="I255" s="318"/>
      <c r="J255" s="318"/>
      <c r="K255" s="318"/>
      <c r="L255" s="363"/>
      <c r="M255" s="363"/>
      <c r="N255" s="348"/>
      <c r="O255" s="272"/>
    </row>
    <row r="256">
      <c r="A256" s="279"/>
      <c r="B256" s="317"/>
      <c r="C256" s="318"/>
      <c r="D256" s="319" t="s">
        <v>195</v>
      </c>
      <c r="E256" s="320"/>
      <c r="F256" s="320"/>
      <c r="G256" s="320"/>
      <c r="H256" s="320"/>
      <c r="I256" s="321" t="s">
        <v>196</v>
      </c>
      <c r="J256" s="322" t="s">
        <v>197</v>
      </c>
      <c r="K256" s="323" t="s">
        <v>198</v>
      </c>
      <c r="L256" s="322" t="s">
        <v>199</v>
      </c>
      <c r="N256" s="348"/>
      <c r="O256" s="279"/>
    </row>
    <row r="257">
      <c r="A257" s="279"/>
      <c r="B257" s="325" t="str">
        <f t="shared" ref="B257:B270" si="14">if(L257="complete","🏅",if(L257="fail","💢",))</f>
        <v/>
      </c>
      <c r="C257" s="180" t="str">
        <f>L257&amp;F246&amp;D257</f>
        <v>Trung.6001</v>
      </c>
      <c r="D257" s="326">
        <v>1.0</v>
      </c>
      <c r="E257" s="327"/>
      <c r="F257" s="328"/>
      <c r="G257" s="328"/>
      <c r="H257" s="328"/>
      <c r="I257" s="329"/>
      <c r="J257" s="330"/>
      <c r="K257" s="365"/>
      <c r="L257" s="364"/>
      <c r="N257" s="348"/>
      <c r="O257" s="279"/>
    </row>
    <row r="258">
      <c r="A258" s="277"/>
      <c r="B258" s="325" t="str">
        <f t="shared" si="14"/>
        <v/>
      </c>
      <c r="C258" s="180" t="str">
        <f>L258&amp;F246&amp;D258</f>
        <v>Trung.6002</v>
      </c>
      <c r="D258" s="326">
        <v>2.0</v>
      </c>
      <c r="E258" s="327"/>
      <c r="F258" s="328"/>
      <c r="G258" s="328"/>
      <c r="H258" s="328"/>
      <c r="I258" s="329"/>
      <c r="J258" s="330"/>
      <c r="K258" s="366"/>
      <c r="L258" s="364"/>
      <c r="N258" s="348"/>
      <c r="O258" s="277"/>
    </row>
    <row r="259">
      <c r="A259" s="277"/>
      <c r="B259" s="325" t="str">
        <f t="shared" si="14"/>
        <v/>
      </c>
      <c r="C259" s="180" t="str">
        <f>L259&amp;F246&amp;D259</f>
        <v>Trung.6003</v>
      </c>
      <c r="D259" s="326">
        <v>3.0</v>
      </c>
      <c r="E259" s="327"/>
      <c r="F259" s="328"/>
      <c r="G259" s="328"/>
      <c r="H259" s="328"/>
      <c r="I259" s="329"/>
      <c r="J259" s="330"/>
      <c r="K259" s="366"/>
      <c r="L259" s="364"/>
      <c r="N259" s="348"/>
      <c r="O259" s="277"/>
    </row>
    <row r="260">
      <c r="A260" s="278"/>
      <c r="B260" s="325" t="str">
        <f t="shared" si="14"/>
        <v/>
      </c>
      <c r="C260" s="180" t="str">
        <f>L260&amp;F246&amp;D260</f>
        <v>Trung.6004</v>
      </c>
      <c r="D260" s="326">
        <v>4.0</v>
      </c>
      <c r="E260" s="327"/>
      <c r="F260" s="328"/>
      <c r="G260" s="328"/>
      <c r="H260" s="328"/>
      <c r="I260" s="329"/>
      <c r="J260" s="330"/>
      <c r="K260" s="365"/>
      <c r="L260" s="364"/>
      <c r="N260" s="348"/>
      <c r="O260" s="278"/>
    </row>
    <row r="261">
      <c r="A261" s="278"/>
      <c r="B261" s="325" t="str">
        <f t="shared" si="14"/>
        <v/>
      </c>
      <c r="C261" s="180" t="str">
        <f>L261&amp;F246&amp;D261</f>
        <v>Trung.6005</v>
      </c>
      <c r="D261" s="326">
        <v>5.0</v>
      </c>
      <c r="E261" s="327"/>
      <c r="F261" s="328"/>
      <c r="G261" s="328"/>
      <c r="H261" s="328"/>
      <c r="I261" s="329"/>
      <c r="J261" s="330"/>
      <c r="K261" s="366"/>
      <c r="L261" s="330"/>
      <c r="N261" s="348"/>
      <c r="O261" s="278"/>
    </row>
    <row r="262">
      <c r="A262" s="279"/>
      <c r="B262" s="325" t="str">
        <f t="shared" si="14"/>
        <v/>
      </c>
      <c r="C262" s="180" t="str">
        <f>L262&amp;F246&amp;D262</f>
        <v>Trung.6006</v>
      </c>
      <c r="D262" s="326">
        <v>6.0</v>
      </c>
      <c r="E262" s="327"/>
      <c r="F262" s="328"/>
      <c r="G262" s="328"/>
      <c r="H262" s="328"/>
      <c r="I262" s="329"/>
      <c r="J262" s="330"/>
      <c r="K262" s="366"/>
      <c r="L262" s="330"/>
      <c r="N262" s="348"/>
      <c r="O262" s="279"/>
    </row>
    <row r="263">
      <c r="A263" s="279"/>
      <c r="B263" s="325" t="str">
        <f t="shared" si="14"/>
        <v/>
      </c>
      <c r="C263" s="180" t="str">
        <f>L263&amp;F246&amp;D263</f>
        <v>Trung.6007</v>
      </c>
      <c r="D263" s="326">
        <v>7.0</v>
      </c>
      <c r="E263" s="327"/>
      <c r="F263" s="328"/>
      <c r="G263" s="328"/>
      <c r="H263" s="328"/>
      <c r="I263" s="329"/>
      <c r="J263" s="330"/>
      <c r="K263" s="366"/>
      <c r="L263" s="330"/>
      <c r="N263" s="348"/>
      <c r="O263" s="279"/>
    </row>
    <row r="264">
      <c r="A264" s="274"/>
      <c r="B264" s="325" t="str">
        <f t="shared" si="14"/>
        <v/>
      </c>
      <c r="C264" s="180" t="str">
        <f>L264&amp;F246&amp;D264</f>
        <v>Trung.6008</v>
      </c>
      <c r="D264" s="326">
        <v>8.0</v>
      </c>
      <c r="E264" s="327"/>
      <c r="F264" s="328"/>
      <c r="G264" s="328"/>
      <c r="H264" s="328"/>
      <c r="I264" s="329"/>
      <c r="J264" s="330"/>
      <c r="K264" s="366"/>
      <c r="L264" s="330"/>
      <c r="N264" s="348"/>
      <c r="O264" s="274"/>
    </row>
    <row r="265">
      <c r="A265" s="274"/>
      <c r="B265" s="325" t="str">
        <f t="shared" si="14"/>
        <v/>
      </c>
      <c r="C265" s="180" t="str">
        <f>L265&amp;F246&amp;D265</f>
        <v>Trung.6009</v>
      </c>
      <c r="D265" s="326">
        <v>9.0</v>
      </c>
      <c r="E265" s="327"/>
      <c r="F265" s="328"/>
      <c r="G265" s="328"/>
      <c r="H265" s="328"/>
      <c r="I265" s="329"/>
      <c r="J265" s="330"/>
      <c r="K265" s="366"/>
      <c r="L265" s="330"/>
      <c r="N265" s="348"/>
      <c r="O265" s="274"/>
    </row>
    <row r="266">
      <c r="A266" s="272"/>
      <c r="B266" s="325" t="str">
        <f t="shared" si="14"/>
        <v/>
      </c>
      <c r="C266" s="180" t="str">
        <f>L266&amp;F246&amp;D266</f>
        <v>Trung.60010</v>
      </c>
      <c r="D266" s="326">
        <v>10.0</v>
      </c>
      <c r="E266" s="327"/>
      <c r="F266" s="328"/>
      <c r="G266" s="328"/>
      <c r="H266" s="328"/>
      <c r="I266" s="329"/>
      <c r="J266" s="330"/>
      <c r="K266" s="366"/>
      <c r="L266" s="330"/>
      <c r="N266" s="348"/>
      <c r="O266" s="272"/>
    </row>
    <row r="267">
      <c r="A267" s="272"/>
      <c r="B267" s="325" t="str">
        <f t="shared" si="14"/>
        <v/>
      </c>
      <c r="C267" s="180" t="str">
        <f>L267&amp;F246&amp;D267</f>
        <v>Trung.60011</v>
      </c>
      <c r="D267" s="326">
        <v>11.0</v>
      </c>
      <c r="E267" s="327"/>
      <c r="F267" s="328"/>
      <c r="G267" s="328"/>
      <c r="H267" s="328"/>
      <c r="I267" s="329"/>
      <c r="J267" s="330"/>
      <c r="K267" s="366"/>
      <c r="L267" s="330"/>
      <c r="N267" s="348"/>
      <c r="O267" s="272"/>
    </row>
    <row r="268">
      <c r="A268" s="279"/>
      <c r="B268" s="325" t="str">
        <f t="shared" si="14"/>
        <v/>
      </c>
      <c r="C268" s="180" t="str">
        <f>L268&amp;F246&amp;D268</f>
        <v>Trung.60012</v>
      </c>
      <c r="D268" s="326">
        <v>12.0</v>
      </c>
      <c r="E268" s="327"/>
      <c r="F268" s="328"/>
      <c r="G268" s="328"/>
      <c r="H268" s="328"/>
      <c r="I268" s="329"/>
      <c r="J268" s="330"/>
      <c r="K268" s="366"/>
      <c r="L268" s="330"/>
      <c r="N268" s="348"/>
      <c r="O268" s="279"/>
    </row>
    <row r="269">
      <c r="A269" s="279"/>
      <c r="B269" s="325" t="str">
        <f t="shared" si="14"/>
        <v/>
      </c>
      <c r="C269" s="180" t="str">
        <f>L269&amp;F246&amp;D269</f>
        <v>Trung.60013</v>
      </c>
      <c r="D269" s="326">
        <v>13.0</v>
      </c>
      <c r="E269" s="327"/>
      <c r="F269" s="328"/>
      <c r="G269" s="328"/>
      <c r="H269" s="328"/>
      <c r="I269" s="329"/>
      <c r="J269" s="330"/>
      <c r="K269" s="366"/>
      <c r="L269" s="330"/>
      <c r="N269" s="348"/>
      <c r="O269" s="279"/>
    </row>
    <row r="270">
      <c r="A270" s="277"/>
      <c r="B270" s="325" t="str">
        <f t="shared" si="14"/>
        <v/>
      </c>
      <c r="C270" s="180" t="str">
        <f>L270&amp;F246&amp;D270</f>
        <v>Trung.60014</v>
      </c>
      <c r="D270" s="326">
        <v>14.0</v>
      </c>
      <c r="E270" s="327"/>
      <c r="F270" s="328"/>
      <c r="G270" s="328"/>
      <c r="H270" s="328"/>
      <c r="I270" s="329"/>
      <c r="J270" s="330"/>
      <c r="K270" s="366"/>
      <c r="L270" s="330"/>
      <c r="N270" s="348"/>
      <c r="O270" s="277"/>
    </row>
    <row r="271">
      <c r="A271" s="277"/>
      <c r="B271" s="367"/>
      <c r="C271" s="368"/>
      <c r="D271" s="369"/>
      <c r="E271" s="368"/>
      <c r="F271" s="370"/>
      <c r="G271" s="368"/>
      <c r="H271" s="368"/>
      <c r="I271" s="368"/>
      <c r="J271" s="368"/>
      <c r="K271" s="368"/>
      <c r="L271" s="368"/>
      <c r="M271" s="368"/>
      <c r="N271" s="371"/>
      <c r="O271" s="277"/>
    </row>
    <row r="272">
      <c r="A272" s="278"/>
      <c r="B272" s="339"/>
      <c r="D272" s="339"/>
      <c r="F272" s="340"/>
      <c r="O272" s="278"/>
    </row>
    <row r="273" ht="9.0" customHeight="1">
      <c r="A273" s="274"/>
      <c r="B273" s="275"/>
      <c r="C273" s="274"/>
      <c r="D273" s="275"/>
      <c r="E273" s="272"/>
      <c r="F273" s="276"/>
      <c r="G273" s="277"/>
      <c r="H273" s="278"/>
      <c r="I273" s="278"/>
      <c r="J273" s="277"/>
      <c r="K273" s="279"/>
      <c r="L273" s="272"/>
      <c r="M273" s="274"/>
      <c r="N273" s="274"/>
      <c r="O273" s="274"/>
    </row>
    <row r="274">
      <c r="A274" s="274"/>
      <c r="B274" s="341"/>
      <c r="C274" s="342"/>
      <c r="D274" s="343"/>
      <c r="E274" s="342"/>
      <c r="F274" s="344"/>
      <c r="G274" s="342"/>
      <c r="H274" s="342"/>
      <c r="I274" s="342"/>
      <c r="J274" s="342"/>
      <c r="K274" s="342"/>
      <c r="L274" s="342"/>
      <c r="M274" s="342"/>
      <c r="N274" s="345"/>
      <c r="O274" s="274"/>
    </row>
    <row r="275">
      <c r="A275" s="274"/>
      <c r="B275" s="346">
        <v>1.0</v>
      </c>
      <c r="D275" s="287" t="s">
        <v>171</v>
      </c>
      <c r="E275" s="347" t="s">
        <v>172</v>
      </c>
      <c r="F275" s="289" t="s">
        <v>59</v>
      </c>
      <c r="G275" s="290"/>
      <c r="J275" s="291"/>
      <c r="N275" s="348"/>
      <c r="O275" s="274"/>
    </row>
    <row r="276">
      <c r="A276" s="272"/>
      <c r="B276" s="346">
        <v>1.0</v>
      </c>
      <c r="C276" s="202" t="str">
        <f>E276&amp;F276</f>
        <v>Nick Name:Huyen.600</v>
      </c>
      <c r="D276" s="349" t="s">
        <v>173</v>
      </c>
      <c r="E276" s="347" t="s">
        <v>174</v>
      </c>
      <c r="F276" s="289" t="s">
        <v>10</v>
      </c>
      <c r="J276" s="291" t="s">
        <v>175</v>
      </c>
      <c r="L276" s="298" t="s">
        <v>220</v>
      </c>
      <c r="N276" s="348"/>
      <c r="O276" s="272"/>
    </row>
    <row r="277">
      <c r="A277" s="272"/>
      <c r="B277" s="346">
        <v>1.0</v>
      </c>
      <c r="C277" s="202" t="str">
        <f>E277&amp;F276</f>
        <v>Full Name:Huyen.600</v>
      </c>
      <c r="D277" s="349" t="s">
        <v>177</v>
      </c>
      <c r="E277" s="347" t="s">
        <v>178</v>
      </c>
      <c r="F277" s="289" t="s">
        <v>141</v>
      </c>
      <c r="J277" s="291" t="s">
        <v>179</v>
      </c>
      <c r="N277" s="348"/>
      <c r="O277" s="272"/>
    </row>
    <row r="278">
      <c r="A278" s="279"/>
      <c r="B278" s="346">
        <v>1.0</v>
      </c>
      <c r="C278" s="202" t="str">
        <f>E278&amp;F276</f>
        <v>Position:Huyen.600</v>
      </c>
      <c r="D278" s="349" t="s">
        <v>181</v>
      </c>
      <c r="E278" s="347" t="s">
        <v>182</v>
      </c>
      <c r="F278" s="379" t="s">
        <v>214</v>
      </c>
      <c r="J278" s="291" t="s">
        <v>184</v>
      </c>
      <c r="N278" s="348"/>
      <c r="O278" s="279"/>
    </row>
    <row r="279">
      <c r="A279" s="279"/>
      <c r="B279" s="346">
        <v>1.0</v>
      </c>
      <c r="C279" s="202" t="str">
        <f>E279&amp;F276</f>
        <v>Birth:Huyen.600</v>
      </c>
      <c r="D279" s="349" t="s">
        <v>185</v>
      </c>
      <c r="E279" s="347" t="s">
        <v>186</v>
      </c>
      <c r="F279" s="289"/>
      <c r="J279" s="351"/>
      <c r="K279" s="352"/>
      <c r="L279" s="352"/>
      <c r="M279" s="352"/>
      <c r="N279" s="348"/>
      <c r="O279" s="279"/>
    </row>
    <row r="280">
      <c r="A280" s="277"/>
      <c r="B280" s="346">
        <v>1.0</v>
      </c>
      <c r="C280" s="202" t="str">
        <f>E280&amp;F276</f>
        <v>Experience:Huyen.600</v>
      </c>
      <c r="D280" s="349" t="s">
        <v>188</v>
      </c>
      <c r="E280" s="347" t="s">
        <v>189</v>
      </c>
      <c r="F280" s="289"/>
      <c r="J280" s="318"/>
      <c r="K280" s="352"/>
      <c r="L280" s="352"/>
      <c r="M280" s="352"/>
      <c r="N280" s="348"/>
      <c r="O280" s="277"/>
    </row>
    <row r="281">
      <c r="A281" s="277"/>
      <c r="B281" s="346"/>
      <c r="C281" s="374" t="str">
        <f>E281&amp;F276</f>
        <v>Quote:Huyen.600</v>
      </c>
      <c r="D281" s="353" t="s">
        <v>191</v>
      </c>
      <c r="E281" s="354" t="s">
        <v>192</v>
      </c>
      <c r="F281" s="308" t="s">
        <v>229</v>
      </c>
      <c r="J281" s="318"/>
      <c r="K281" s="352"/>
      <c r="L281" s="352"/>
      <c r="M281" s="352"/>
      <c r="N281" s="348"/>
      <c r="O281" s="277"/>
    </row>
    <row r="282">
      <c r="A282" s="274"/>
      <c r="B282" s="346"/>
      <c r="J282" s="318"/>
      <c r="K282" s="352"/>
      <c r="L282" s="352"/>
      <c r="N282" s="348"/>
      <c r="O282" s="274"/>
    </row>
    <row r="283">
      <c r="A283" s="274"/>
      <c r="B283" s="356"/>
      <c r="G283" s="300" t="str">
        <f>If(H283&gt;=0,"🔴","💣")</f>
        <v>🔴</v>
      </c>
      <c r="H283" s="309">
        <f>if(F276="...",0,vlookup(F276,Summary!$E:$V,18,false))</f>
        <v>0</v>
      </c>
      <c r="J283" s="318"/>
      <c r="N283" s="348"/>
      <c r="O283" s="274"/>
    </row>
    <row r="284">
      <c r="A284" s="272"/>
      <c r="B284" s="356"/>
      <c r="C284" s="286" t="str">
        <f>G284&amp;F276</f>
        <v>❤️️Huyen.600</v>
      </c>
      <c r="D284" s="357"/>
      <c r="E284" s="358"/>
      <c r="F284" s="359"/>
      <c r="G284" s="351" t="s">
        <v>194</v>
      </c>
      <c r="H284" s="309">
        <f>sumif(L287:L300,"complete",K287:K300)-vlookup(F276,ADDSTORE!$M$3:$O$38,3,false)</f>
        <v>0</v>
      </c>
      <c r="J284" s="360"/>
      <c r="K284" s="360"/>
      <c r="N284" s="348"/>
      <c r="O284" s="272"/>
    </row>
    <row r="285">
      <c r="A285" s="272"/>
      <c r="B285" s="317"/>
      <c r="C285" s="318"/>
      <c r="D285" s="361"/>
      <c r="E285" s="318"/>
      <c r="F285" s="362"/>
      <c r="G285" s="318"/>
      <c r="H285" s="318"/>
      <c r="I285" s="318"/>
      <c r="J285" s="318"/>
      <c r="K285" s="318"/>
      <c r="L285" s="363"/>
      <c r="M285" s="363"/>
      <c r="N285" s="348"/>
      <c r="O285" s="272"/>
    </row>
    <row r="286">
      <c r="A286" s="279"/>
      <c r="B286" s="317"/>
      <c r="C286" s="318"/>
      <c r="D286" s="319" t="s">
        <v>195</v>
      </c>
      <c r="E286" s="320"/>
      <c r="F286" s="320"/>
      <c r="G286" s="320"/>
      <c r="H286" s="320"/>
      <c r="I286" s="321" t="s">
        <v>196</v>
      </c>
      <c r="J286" s="322" t="s">
        <v>197</v>
      </c>
      <c r="K286" s="323" t="s">
        <v>198</v>
      </c>
      <c r="L286" s="322" t="s">
        <v>199</v>
      </c>
      <c r="N286" s="348"/>
      <c r="O286" s="279"/>
    </row>
    <row r="287">
      <c r="A287" s="279"/>
      <c r="B287" s="325" t="str">
        <f t="shared" ref="B287:B300" si="15">if(L287="complete","🏅",if(L287="fail","💢",))</f>
        <v/>
      </c>
      <c r="C287" s="180" t="str">
        <f>L287&amp;F276&amp;D287</f>
        <v>Huyen.6001</v>
      </c>
      <c r="D287" s="326">
        <v>1.0</v>
      </c>
      <c r="E287" s="327"/>
      <c r="F287" s="328"/>
      <c r="G287" s="328"/>
      <c r="H287" s="328"/>
      <c r="I287" s="329"/>
      <c r="J287" s="330"/>
      <c r="K287" s="365"/>
      <c r="L287" s="364"/>
      <c r="N287" s="348"/>
      <c r="O287" s="279"/>
    </row>
    <row r="288">
      <c r="A288" s="277"/>
      <c r="B288" s="325" t="str">
        <f t="shared" si="15"/>
        <v/>
      </c>
      <c r="C288" s="180" t="str">
        <f>L288&amp;F276&amp;D288</f>
        <v>Huyen.6002</v>
      </c>
      <c r="D288" s="326">
        <v>2.0</v>
      </c>
      <c r="E288" s="327"/>
      <c r="F288" s="328"/>
      <c r="G288" s="328"/>
      <c r="H288" s="328"/>
      <c r="I288" s="329"/>
      <c r="J288" s="330"/>
      <c r="K288" s="366"/>
      <c r="L288" s="364"/>
      <c r="N288" s="348"/>
      <c r="O288" s="277"/>
    </row>
    <row r="289">
      <c r="A289" s="277"/>
      <c r="B289" s="325" t="str">
        <f t="shared" si="15"/>
        <v/>
      </c>
      <c r="C289" s="180" t="str">
        <f>L289&amp;F276&amp;D289</f>
        <v>Huyen.6003</v>
      </c>
      <c r="D289" s="326">
        <v>3.0</v>
      </c>
      <c r="E289" s="327"/>
      <c r="F289" s="328"/>
      <c r="G289" s="328"/>
      <c r="H289" s="328"/>
      <c r="I289" s="329"/>
      <c r="J289" s="330"/>
      <c r="K289" s="366"/>
      <c r="L289" s="364"/>
      <c r="N289" s="348"/>
      <c r="O289" s="277"/>
    </row>
    <row r="290">
      <c r="A290" s="278"/>
      <c r="B290" s="325" t="str">
        <f t="shared" si="15"/>
        <v/>
      </c>
      <c r="C290" s="180" t="str">
        <f>L290&amp;F276&amp;D290</f>
        <v>Huyen.6004</v>
      </c>
      <c r="D290" s="326">
        <v>4.0</v>
      </c>
      <c r="E290" s="327"/>
      <c r="F290" s="328"/>
      <c r="G290" s="328"/>
      <c r="H290" s="328"/>
      <c r="I290" s="329"/>
      <c r="J290" s="330"/>
      <c r="K290" s="365"/>
      <c r="L290" s="364"/>
      <c r="N290" s="348"/>
      <c r="O290" s="278"/>
    </row>
    <row r="291">
      <c r="A291" s="278"/>
      <c r="B291" s="325" t="str">
        <f t="shared" si="15"/>
        <v/>
      </c>
      <c r="C291" s="180" t="str">
        <f>L291&amp;F276&amp;D291</f>
        <v>Huyen.6005</v>
      </c>
      <c r="D291" s="326">
        <v>5.0</v>
      </c>
      <c r="E291" s="327"/>
      <c r="F291" s="328"/>
      <c r="G291" s="328"/>
      <c r="H291" s="328"/>
      <c r="I291" s="329"/>
      <c r="J291" s="330"/>
      <c r="K291" s="366"/>
      <c r="L291" s="330"/>
      <c r="N291" s="348"/>
      <c r="O291" s="278"/>
    </row>
    <row r="292">
      <c r="A292" s="279"/>
      <c r="B292" s="325" t="str">
        <f t="shared" si="15"/>
        <v/>
      </c>
      <c r="C292" s="180" t="str">
        <f>L292&amp;F276&amp;D292</f>
        <v>Huyen.6006</v>
      </c>
      <c r="D292" s="326">
        <v>6.0</v>
      </c>
      <c r="E292" s="327"/>
      <c r="F292" s="328"/>
      <c r="G292" s="328"/>
      <c r="H292" s="328"/>
      <c r="I292" s="329"/>
      <c r="J292" s="330"/>
      <c r="K292" s="366"/>
      <c r="L292" s="330"/>
      <c r="N292" s="348"/>
      <c r="O292" s="279"/>
    </row>
    <row r="293">
      <c r="A293" s="279"/>
      <c r="B293" s="325" t="str">
        <f t="shared" si="15"/>
        <v/>
      </c>
      <c r="C293" s="180" t="str">
        <f>L293&amp;F276&amp;D293</f>
        <v>Huyen.6007</v>
      </c>
      <c r="D293" s="326">
        <v>7.0</v>
      </c>
      <c r="E293" s="327"/>
      <c r="F293" s="328"/>
      <c r="G293" s="328"/>
      <c r="H293" s="328"/>
      <c r="I293" s="329"/>
      <c r="J293" s="330"/>
      <c r="K293" s="366"/>
      <c r="L293" s="330"/>
      <c r="N293" s="348"/>
      <c r="O293" s="279"/>
    </row>
    <row r="294">
      <c r="A294" s="274"/>
      <c r="B294" s="325" t="str">
        <f t="shared" si="15"/>
        <v/>
      </c>
      <c r="C294" s="180" t="str">
        <f>L294&amp;F276&amp;D294</f>
        <v>Huyen.6008</v>
      </c>
      <c r="D294" s="326">
        <v>8.0</v>
      </c>
      <c r="E294" s="327"/>
      <c r="F294" s="328"/>
      <c r="G294" s="328"/>
      <c r="H294" s="328"/>
      <c r="I294" s="329"/>
      <c r="J294" s="330"/>
      <c r="K294" s="366"/>
      <c r="L294" s="330"/>
      <c r="N294" s="348"/>
      <c r="O294" s="274"/>
    </row>
    <row r="295">
      <c r="A295" s="274"/>
      <c r="B295" s="325" t="str">
        <f t="shared" si="15"/>
        <v/>
      </c>
      <c r="C295" s="180" t="str">
        <f>L295&amp;F276&amp;D295</f>
        <v>Huyen.6009</v>
      </c>
      <c r="D295" s="326">
        <v>9.0</v>
      </c>
      <c r="E295" s="327"/>
      <c r="F295" s="328"/>
      <c r="G295" s="328"/>
      <c r="H295" s="328"/>
      <c r="I295" s="329"/>
      <c r="J295" s="330"/>
      <c r="K295" s="366"/>
      <c r="L295" s="330"/>
      <c r="N295" s="348"/>
      <c r="O295" s="274"/>
    </row>
    <row r="296">
      <c r="A296" s="272"/>
      <c r="B296" s="325" t="str">
        <f t="shared" si="15"/>
        <v/>
      </c>
      <c r="C296" s="180" t="str">
        <f>L296&amp;F276&amp;D296</f>
        <v>Huyen.60010</v>
      </c>
      <c r="D296" s="326">
        <v>10.0</v>
      </c>
      <c r="E296" s="327"/>
      <c r="F296" s="328"/>
      <c r="G296" s="328"/>
      <c r="H296" s="328"/>
      <c r="I296" s="329"/>
      <c r="J296" s="330"/>
      <c r="K296" s="366"/>
      <c r="L296" s="330"/>
      <c r="N296" s="348"/>
      <c r="O296" s="272"/>
    </row>
    <row r="297">
      <c r="A297" s="272"/>
      <c r="B297" s="325" t="str">
        <f t="shared" si="15"/>
        <v/>
      </c>
      <c r="C297" s="180" t="str">
        <f>L297&amp;F276&amp;D297</f>
        <v>Huyen.60011</v>
      </c>
      <c r="D297" s="326">
        <v>11.0</v>
      </c>
      <c r="E297" s="327"/>
      <c r="F297" s="328"/>
      <c r="G297" s="328"/>
      <c r="H297" s="328"/>
      <c r="I297" s="329"/>
      <c r="J297" s="330"/>
      <c r="K297" s="366"/>
      <c r="L297" s="330"/>
      <c r="N297" s="348"/>
      <c r="O297" s="272"/>
    </row>
    <row r="298">
      <c r="A298" s="279"/>
      <c r="B298" s="325" t="str">
        <f t="shared" si="15"/>
        <v/>
      </c>
      <c r="C298" s="180" t="str">
        <f>L298&amp;F276&amp;D298</f>
        <v>Huyen.60012</v>
      </c>
      <c r="D298" s="326">
        <v>12.0</v>
      </c>
      <c r="E298" s="327"/>
      <c r="F298" s="328"/>
      <c r="G298" s="328"/>
      <c r="H298" s="328"/>
      <c r="I298" s="329"/>
      <c r="J298" s="330"/>
      <c r="K298" s="366"/>
      <c r="L298" s="330"/>
      <c r="N298" s="348"/>
      <c r="O298" s="279"/>
    </row>
    <row r="299">
      <c r="A299" s="279"/>
      <c r="B299" s="325" t="str">
        <f t="shared" si="15"/>
        <v/>
      </c>
      <c r="C299" s="180" t="str">
        <f>L299&amp;F276&amp;D299</f>
        <v>Huyen.60013</v>
      </c>
      <c r="D299" s="326">
        <v>13.0</v>
      </c>
      <c r="E299" s="327"/>
      <c r="F299" s="328"/>
      <c r="G299" s="328"/>
      <c r="H299" s="328"/>
      <c r="I299" s="329"/>
      <c r="J299" s="330"/>
      <c r="K299" s="366"/>
      <c r="L299" s="330"/>
      <c r="N299" s="348"/>
      <c r="O299" s="279"/>
    </row>
    <row r="300">
      <c r="A300" s="277"/>
      <c r="B300" s="325" t="str">
        <f t="shared" si="15"/>
        <v/>
      </c>
      <c r="C300" s="180" t="str">
        <f>L300&amp;F276&amp;D300</f>
        <v>Huyen.60014</v>
      </c>
      <c r="D300" s="326">
        <v>14.0</v>
      </c>
      <c r="E300" s="327"/>
      <c r="F300" s="328"/>
      <c r="G300" s="328"/>
      <c r="H300" s="328"/>
      <c r="I300" s="329"/>
      <c r="J300" s="330"/>
      <c r="K300" s="366"/>
      <c r="L300" s="330"/>
      <c r="N300" s="348"/>
      <c r="O300" s="277"/>
    </row>
    <row r="301">
      <c r="A301" s="277"/>
      <c r="B301" s="367"/>
      <c r="C301" s="368"/>
      <c r="D301" s="369"/>
      <c r="E301" s="368"/>
      <c r="F301" s="370"/>
      <c r="G301" s="368"/>
      <c r="H301" s="368"/>
      <c r="I301" s="368"/>
      <c r="J301" s="368"/>
      <c r="K301" s="368"/>
      <c r="L301" s="368"/>
      <c r="M301" s="368"/>
      <c r="N301" s="371"/>
      <c r="O301" s="277"/>
    </row>
    <row r="302">
      <c r="A302" s="278"/>
      <c r="B302" s="339"/>
      <c r="D302" s="339"/>
      <c r="F302" s="340"/>
      <c r="O302" s="278"/>
    </row>
    <row r="303" ht="9.0" customHeight="1">
      <c r="A303" s="274"/>
      <c r="B303" s="275"/>
      <c r="C303" s="274"/>
      <c r="D303" s="275"/>
      <c r="E303" s="272"/>
      <c r="F303" s="276"/>
      <c r="G303" s="277"/>
      <c r="H303" s="278"/>
      <c r="I303" s="278"/>
      <c r="J303" s="277"/>
      <c r="K303" s="279"/>
      <c r="L303" s="272"/>
      <c r="M303" s="274"/>
      <c r="N303" s="274"/>
      <c r="O303" s="274"/>
    </row>
    <row r="304">
      <c r="A304" s="274"/>
      <c r="B304" s="341"/>
      <c r="C304" s="342"/>
      <c r="D304" s="343"/>
      <c r="E304" s="342"/>
      <c r="F304" s="344"/>
      <c r="G304" s="342"/>
      <c r="H304" s="342"/>
      <c r="I304" s="342"/>
      <c r="J304" s="342"/>
      <c r="K304" s="342"/>
      <c r="L304" s="342"/>
      <c r="M304" s="342"/>
      <c r="N304" s="345"/>
      <c r="O304" s="274"/>
    </row>
    <row r="305">
      <c r="A305" s="274"/>
      <c r="B305" s="346">
        <v>1.0</v>
      </c>
      <c r="D305" s="287" t="s">
        <v>171</v>
      </c>
      <c r="E305" s="347" t="s">
        <v>172</v>
      </c>
      <c r="F305" s="289" t="s">
        <v>43</v>
      </c>
      <c r="G305" s="290"/>
      <c r="J305" s="291"/>
      <c r="N305" s="348"/>
      <c r="O305" s="274"/>
    </row>
    <row r="306">
      <c r="A306" s="272"/>
      <c r="B306" s="346">
        <v>1.0</v>
      </c>
      <c r="C306" s="202" t="str">
        <f>E306&amp;F306</f>
        <v>Nick Name:Dat.600</v>
      </c>
      <c r="D306" s="349" t="s">
        <v>173</v>
      </c>
      <c r="E306" s="347" t="s">
        <v>174</v>
      </c>
      <c r="F306" s="289" t="s">
        <v>4</v>
      </c>
      <c r="J306" s="291" t="s">
        <v>175</v>
      </c>
      <c r="L306" s="298" t="s">
        <v>220</v>
      </c>
      <c r="N306" s="348"/>
      <c r="O306" s="272"/>
    </row>
    <row r="307">
      <c r="A307" s="272"/>
      <c r="B307" s="346">
        <v>1.0</v>
      </c>
      <c r="C307" s="202" t="str">
        <f>E307&amp;F306</f>
        <v>Full Name:Dat.600</v>
      </c>
      <c r="D307" s="349" t="s">
        <v>177</v>
      </c>
      <c r="E307" s="347" t="s">
        <v>178</v>
      </c>
      <c r="F307" s="289" t="s">
        <v>230</v>
      </c>
      <c r="J307" s="291" t="s">
        <v>179</v>
      </c>
      <c r="N307" s="348"/>
      <c r="O307" s="272"/>
    </row>
    <row r="308">
      <c r="A308" s="279"/>
      <c r="B308" s="346">
        <v>1.0</v>
      </c>
      <c r="C308" s="202" t="str">
        <f>E308&amp;F306</f>
        <v>Position:Dat.600</v>
      </c>
      <c r="D308" s="349" t="s">
        <v>181</v>
      </c>
      <c r="E308" s="347" t="s">
        <v>182</v>
      </c>
      <c r="F308" s="289" t="s">
        <v>231</v>
      </c>
      <c r="J308" s="291" t="s">
        <v>184</v>
      </c>
      <c r="N308" s="348"/>
      <c r="O308" s="279"/>
    </row>
    <row r="309">
      <c r="A309" s="279"/>
      <c r="B309" s="346">
        <v>1.0</v>
      </c>
      <c r="C309" s="202" t="str">
        <f>E309&amp;F306</f>
        <v>Birth:Dat.600</v>
      </c>
      <c r="D309" s="349" t="s">
        <v>185</v>
      </c>
      <c r="E309" s="347" t="s">
        <v>186</v>
      </c>
      <c r="F309" s="289" t="s">
        <v>232</v>
      </c>
      <c r="K309" s="352"/>
      <c r="L309" s="352"/>
      <c r="M309" s="352"/>
      <c r="N309" s="348"/>
      <c r="O309" s="279"/>
    </row>
    <row r="310">
      <c r="A310" s="277"/>
      <c r="B310" s="346">
        <v>1.0</v>
      </c>
      <c r="C310" s="202" t="str">
        <f>E310&amp;F306</f>
        <v>Experience:Dat.600</v>
      </c>
      <c r="D310" s="349" t="s">
        <v>188</v>
      </c>
      <c r="E310" s="347" t="s">
        <v>189</v>
      </c>
      <c r="F310" s="289">
        <v>8.0</v>
      </c>
      <c r="J310" s="318"/>
      <c r="K310" s="352"/>
      <c r="L310" s="352"/>
      <c r="M310" s="352"/>
      <c r="N310" s="348"/>
      <c r="O310" s="277"/>
    </row>
    <row r="311">
      <c r="A311" s="277"/>
      <c r="B311" s="346"/>
      <c r="C311" s="374" t="str">
        <f>E311&amp;F306</f>
        <v>Quote:Dat.600</v>
      </c>
      <c r="D311" s="353" t="s">
        <v>191</v>
      </c>
      <c r="E311" s="354" t="s">
        <v>192</v>
      </c>
      <c r="F311" s="308" t="s">
        <v>233</v>
      </c>
      <c r="J311" s="318"/>
      <c r="K311" s="352"/>
      <c r="L311" s="352"/>
      <c r="M311" s="352"/>
      <c r="N311" s="348"/>
      <c r="O311" s="277"/>
    </row>
    <row r="312">
      <c r="A312" s="274"/>
      <c r="B312" s="346"/>
      <c r="F312" s="308"/>
      <c r="J312" s="318"/>
      <c r="K312" s="352"/>
      <c r="L312" s="352"/>
      <c r="N312" s="348"/>
      <c r="O312" s="274"/>
    </row>
    <row r="313">
      <c r="A313" s="274"/>
      <c r="B313" s="356"/>
      <c r="F313" s="308"/>
      <c r="G313" s="300" t="str">
        <f>If(H313&gt;=0,"🔴","💣")</f>
        <v>🔴</v>
      </c>
      <c r="H313" s="309">
        <f>if(F306="...",0,vlookup(F306,Summary!$E:$V,18,false))</f>
        <v>0</v>
      </c>
      <c r="J313" s="318"/>
      <c r="N313" s="348"/>
      <c r="O313" s="274"/>
    </row>
    <row r="314">
      <c r="A314" s="272"/>
      <c r="B314" s="356"/>
      <c r="C314" s="286" t="str">
        <f>G314&amp;F306</f>
        <v>❤️️Dat.600</v>
      </c>
      <c r="D314" s="357"/>
      <c r="E314" s="358"/>
      <c r="F314" s="359"/>
      <c r="G314" s="351" t="s">
        <v>194</v>
      </c>
      <c r="H314" s="309">
        <f>sumif(L317:L330,"complete",K317:K330)-vlookup(F306,ADDSTORE!$M$3:$O$38,3,false)</f>
        <v>0</v>
      </c>
      <c r="J314" s="360"/>
      <c r="K314" s="360"/>
      <c r="N314" s="348"/>
      <c r="O314" s="272"/>
    </row>
    <row r="315">
      <c r="A315" s="272"/>
      <c r="B315" s="317"/>
      <c r="C315" s="318"/>
      <c r="D315" s="361"/>
      <c r="E315" s="318"/>
      <c r="F315" s="362"/>
      <c r="G315" s="318"/>
      <c r="H315" s="318"/>
      <c r="I315" s="318"/>
      <c r="J315" s="318"/>
      <c r="K315" s="318"/>
      <c r="L315" s="363"/>
      <c r="M315" s="363"/>
      <c r="N315" s="348"/>
      <c r="O315" s="272"/>
    </row>
    <row r="316">
      <c r="A316" s="279"/>
      <c r="B316" s="317"/>
      <c r="C316" s="318"/>
      <c r="D316" s="319" t="s">
        <v>195</v>
      </c>
      <c r="E316" s="320"/>
      <c r="F316" s="320"/>
      <c r="G316" s="320"/>
      <c r="H316" s="320"/>
      <c r="I316" s="321" t="s">
        <v>196</v>
      </c>
      <c r="J316" s="322" t="s">
        <v>197</v>
      </c>
      <c r="K316" s="323" t="s">
        <v>198</v>
      </c>
      <c r="L316" s="322" t="s">
        <v>199</v>
      </c>
      <c r="N316" s="348"/>
      <c r="O316" s="279"/>
    </row>
    <row r="317">
      <c r="A317" s="279"/>
      <c r="B317" s="325" t="str">
        <f t="shared" ref="B317:B330" si="16">if(L317="complete","🏅",if(L317="fail","💢",))</f>
        <v/>
      </c>
      <c r="C317" s="180" t="str">
        <f>L317&amp;F306&amp;D317</f>
        <v>Dat.6001</v>
      </c>
      <c r="D317" s="326">
        <v>1.0</v>
      </c>
      <c r="E317" s="327"/>
      <c r="F317" s="328"/>
      <c r="G317" s="328"/>
      <c r="H317" s="328"/>
      <c r="I317" s="329"/>
      <c r="J317" s="330"/>
      <c r="K317" s="365"/>
      <c r="L317" s="364"/>
      <c r="N317" s="348"/>
      <c r="O317" s="279"/>
    </row>
    <row r="318">
      <c r="A318" s="277"/>
      <c r="B318" s="325" t="str">
        <f t="shared" si="16"/>
        <v/>
      </c>
      <c r="C318" s="180" t="str">
        <f>L318&amp;F306&amp;D318</f>
        <v>Dat.6002</v>
      </c>
      <c r="D318" s="326">
        <v>2.0</v>
      </c>
      <c r="E318" s="327"/>
      <c r="F318" s="328"/>
      <c r="G318" s="328"/>
      <c r="H318" s="328"/>
      <c r="I318" s="329"/>
      <c r="J318" s="330"/>
      <c r="K318" s="366"/>
      <c r="L318" s="364"/>
      <c r="N318" s="348"/>
      <c r="O318" s="277"/>
    </row>
    <row r="319">
      <c r="A319" s="277"/>
      <c r="B319" s="325" t="str">
        <f t="shared" si="16"/>
        <v/>
      </c>
      <c r="C319" s="180" t="str">
        <f>L319&amp;F306&amp;D319</f>
        <v>Dat.6003</v>
      </c>
      <c r="D319" s="326">
        <v>3.0</v>
      </c>
      <c r="E319" s="327"/>
      <c r="F319" s="328"/>
      <c r="G319" s="328"/>
      <c r="H319" s="328"/>
      <c r="I319" s="329"/>
      <c r="J319" s="330"/>
      <c r="K319" s="366"/>
      <c r="L319" s="364"/>
      <c r="N319" s="348"/>
      <c r="O319" s="277"/>
    </row>
    <row r="320">
      <c r="A320" s="278"/>
      <c r="B320" s="325" t="str">
        <f t="shared" si="16"/>
        <v/>
      </c>
      <c r="C320" s="180" t="str">
        <f>L320&amp;F306&amp;D320</f>
        <v>Dat.6004</v>
      </c>
      <c r="D320" s="326">
        <v>4.0</v>
      </c>
      <c r="E320" s="327"/>
      <c r="F320" s="328"/>
      <c r="G320" s="328"/>
      <c r="H320" s="328"/>
      <c r="I320" s="329"/>
      <c r="J320" s="330"/>
      <c r="K320" s="365"/>
      <c r="L320" s="364"/>
      <c r="N320" s="348"/>
      <c r="O320" s="278"/>
    </row>
    <row r="321">
      <c r="A321" s="278"/>
      <c r="B321" s="325" t="str">
        <f t="shared" si="16"/>
        <v/>
      </c>
      <c r="C321" s="180" t="str">
        <f>L321&amp;F306&amp;D321</f>
        <v>Dat.6005</v>
      </c>
      <c r="D321" s="326">
        <v>5.0</v>
      </c>
      <c r="E321" s="327"/>
      <c r="F321" s="328"/>
      <c r="G321" s="328"/>
      <c r="H321" s="328"/>
      <c r="I321" s="329"/>
      <c r="J321" s="330"/>
      <c r="K321" s="366"/>
      <c r="L321" s="330"/>
      <c r="N321" s="348"/>
      <c r="O321" s="278"/>
    </row>
    <row r="322">
      <c r="A322" s="279"/>
      <c r="B322" s="325" t="str">
        <f t="shared" si="16"/>
        <v/>
      </c>
      <c r="C322" s="180" t="str">
        <f>L322&amp;F306&amp;D322</f>
        <v>Dat.6006</v>
      </c>
      <c r="D322" s="326">
        <v>6.0</v>
      </c>
      <c r="E322" s="327"/>
      <c r="F322" s="328"/>
      <c r="G322" s="328"/>
      <c r="H322" s="328"/>
      <c r="I322" s="329"/>
      <c r="J322" s="330"/>
      <c r="K322" s="366"/>
      <c r="L322" s="330"/>
      <c r="N322" s="348"/>
      <c r="O322" s="279"/>
    </row>
    <row r="323">
      <c r="A323" s="279"/>
      <c r="B323" s="325" t="str">
        <f t="shared" si="16"/>
        <v/>
      </c>
      <c r="C323" s="180" t="str">
        <f>L323&amp;F306&amp;D323</f>
        <v>Dat.6007</v>
      </c>
      <c r="D323" s="326">
        <v>7.0</v>
      </c>
      <c r="E323" s="327"/>
      <c r="F323" s="328"/>
      <c r="G323" s="328"/>
      <c r="H323" s="328"/>
      <c r="I323" s="329"/>
      <c r="J323" s="330"/>
      <c r="K323" s="366"/>
      <c r="L323" s="330"/>
      <c r="N323" s="348"/>
      <c r="O323" s="279"/>
    </row>
    <row r="324">
      <c r="A324" s="274"/>
      <c r="B324" s="325" t="str">
        <f t="shared" si="16"/>
        <v/>
      </c>
      <c r="C324" s="180" t="str">
        <f>L324&amp;F306&amp;D324</f>
        <v>Dat.6008</v>
      </c>
      <c r="D324" s="326">
        <v>8.0</v>
      </c>
      <c r="E324" s="327"/>
      <c r="F324" s="328"/>
      <c r="G324" s="328"/>
      <c r="H324" s="328"/>
      <c r="I324" s="329"/>
      <c r="J324" s="330"/>
      <c r="K324" s="366"/>
      <c r="L324" s="330"/>
      <c r="N324" s="348"/>
      <c r="O324" s="274"/>
    </row>
    <row r="325">
      <c r="A325" s="274"/>
      <c r="B325" s="325" t="str">
        <f t="shared" si="16"/>
        <v/>
      </c>
      <c r="C325" s="180" t="str">
        <f>L325&amp;F306&amp;D325</f>
        <v>Dat.6009</v>
      </c>
      <c r="D325" s="326">
        <v>9.0</v>
      </c>
      <c r="E325" s="327"/>
      <c r="F325" s="328"/>
      <c r="G325" s="328"/>
      <c r="H325" s="328"/>
      <c r="I325" s="329"/>
      <c r="J325" s="330"/>
      <c r="K325" s="366"/>
      <c r="L325" s="330"/>
      <c r="N325" s="348"/>
      <c r="O325" s="274"/>
    </row>
    <row r="326">
      <c r="A326" s="272"/>
      <c r="B326" s="325" t="str">
        <f t="shared" si="16"/>
        <v/>
      </c>
      <c r="C326" s="180" t="str">
        <f>L326&amp;F306&amp;D326</f>
        <v>Dat.60010</v>
      </c>
      <c r="D326" s="326">
        <v>10.0</v>
      </c>
      <c r="E326" s="327"/>
      <c r="F326" s="328"/>
      <c r="G326" s="328"/>
      <c r="H326" s="328"/>
      <c r="I326" s="329"/>
      <c r="J326" s="330"/>
      <c r="K326" s="366"/>
      <c r="L326" s="330"/>
      <c r="N326" s="348"/>
      <c r="O326" s="272"/>
    </row>
    <row r="327">
      <c r="A327" s="272"/>
      <c r="B327" s="325" t="str">
        <f t="shared" si="16"/>
        <v/>
      </c>
      <c r="C327" s="180" t="str">
        <f>L327&amp;F306&amp;D327</f>
        <v>Dat.60011</v>
      </c>
      <c r="D327" s="326">
        <v>11.0</v>
      </c>
      <c r="E327" s="327"/>
      <c r="F327" s="328"/>
      <c r="G327" s="328"/>
      <c r="H327" s="328"/>
      <c r="I327" s="329"/>
      <c r="J327" s="330"/>
      <c r="K327" s="366"/>
      <c r="L327" s="330"/>
      <c r="N327" s="348"/>
      <c r="O327" s="272"/>
    </row>
    <row r="328">
      <c r="A328" s="279"/>
      <c r="B328" s="325" t="str">
        <f t="shared" si="16"/>
        <v/>
      </c>
      <c r="C328" s="180" t="str">
        <f>L328&amp;F306&amp;D328</f>
        <v>Dat.60012</v>
      </c>
      <c r="D328" s="326">
        <v>12.0</v>
      </c>
      <c r="E328" s="327"/>
      <c r="F328" s="328"/>
      <c r="G328" s="328"/>
      <c r="H328" s="328"/>
      <c r="I328" s="329"/>
      <c r="J328" s="330"/>
      <c r="K328" s="366"/>
      <c r="L328" s="330"/>
      <c r="N328" s="348"/>
      <c r="O328" s="279"/>
    </row>
    <row r="329">
      <c r="A329" s="279"/>
      <c r="B329" s="325" t="str">
        <f t="shared" si="16"/>
        <v/>
      </c>
      <c r="C329" s="180" t="str">
        <f>L329&amp;F306&amp;D329</f>
        <v>Dat.60013</v>
      </c>
      <c r="D329" s="326">
        <v>13.0</v>
      </c>
      <c r="E329" s="327"/>
      <c r="F329" s="328"/>
      <c r="G329" s="328"/>
      <c r="H329" s="328"/>
      <c r="I329" s="329"/>
      <c r="J329" s="330"/>
      <c r="K329" s="366"/>
      <c r="L329" s="330"/>
      <c r="N329" s="348"/>
      <c r="O329" s="279"/>
    </row>
    <row r="330">
      <c r="A330" s="277"/>
      <c r="B330" s="325" t="str">
        <f t="shared" si="16"/>
        <v/>
      </c>
      <c r="C330" s="180" t="str">
        <f>L330&amp;F306&amp;D330</f>
        <v>Dat.60014</v>
      </c>
      <c r="D330" s="326">
        <v>14.0</v>
      </c>
      <c r="E330" s="327"/>
      <c r="F330" s="328"/>
      <c r="G330" s="328"/>
      <c r="H330" s="328"/>
      <c r="I330" s="329"/>
      <c r="J330" s="330"/>
      <c r="K330" s="366"/>
      <c r="L330" s="330"/>
      <c r="N330" s="348"/>
      <c r="O330" s="277"/>
    </row>
    <row r="331">
      <c r="A331" s="277"/>
      <c r="B331" s="367"/>
      <c r="C331" s="368"/>
      <c r="D331" s="369"/>
      <c r="E331" s="368"/>
      <c r="F331" s="370"/>
      <c r="G331" s="368"/>
      <c r="H331" s="368"/>
      <c r="I331" s="368"/>
      <c r="J331" s="368"/>
      <c r="K331" s="368"/>
      <c r="L331" s="368"/>
      <c r="M331" s="368"/>
      <c r="N331" s="371"/>
      <c r="O331" s="277"/>
    </row>
    <row r="332">
      <c r="A332" s="278"/>
      <c r="B332" s="339"/>
      <c r="D332" s="339"/>
      <c r="F332" s="340"/>
      <c r="O332" s="278"/>
    </row>
    <row r="333" ht="9.0" customHeight="1">
      <c r="A333" s="274"/>
      <c r="B333" s="275"/>
      <c r="C333" s="274"/>
      <c r="D333" s="275"/>
      <c r="E333" s="272"/>
      <c r="F333" s="276"/>
      <c r="G333" s="277"/>
      <c r="H333" s="278"/>
      <c r="I333" s="278"/>
      <c r="J333" s="277"/>
      <c r="K333" s="279"/>
      <c r="L333" s="272"/>
      <c r="M333" s="274"/>
      <c r="N333" s="274"/>
      <c r="O333" s="274"/>
    </row>
    <row r="334">
      <c r="A334" s="274"/>
      <c r="B334" s="341"/>
      <c r="C334" s="342"/>
      <c r="D334" s="343"/>
      <c r="E334" s="342"/>
      <c r="F334" s="344"/>
      <c r="G334" s="342"/>
      <c r="H334" s="342"/>
      <c r="I334" s="342"/>
      <c r="J334" s="342"/>
      <c r="K334" s="342"/>
      <c r="L334" s="342"/>
      <c r="M334" s="342"/>
      <c r="N334" s="345"/>
      <c r="O334" s="274"/>
    </row>
    <row r="335">
      <c r="A335" s="274"/>
      <c r="B335" s="346">
        <v>1.0</v>
      </c>
      <c r="D335" s="287" t="s">
        <v>171</v>
      </c>
      <c r="E335" s="347" t="s">
        <v>172</v>
      </c>
      <c r="F335" s="289" t="s">
        <v>73</v>
      </c>
      <c r="G335" s="290"/>
      <c r="J335" s="291"/>
      <c r="N335" s="348"/>
      <c r="O335" s="274"/>
    </row>
    <row r="336">
      <c r="A336" s="272"/>
      <c r="B336" s="346">
        <v>1.0</v>
      </c>
      <c r="C336" s="202" t="str">
        <f>E336&amp;F336</f>
        <v>Nick Name:K.Anh.600</v>
      </c>
      <c r="D336" s="349" t="s">
        <v>173</v>
      </c>
      <c r="E336" s="347" t="s">
        <v>174</v>
      </c>
      <c r="F336" s="381" t="s">
        <v>234</v>
      </c>
      <c r="J336" s="291" t="s">
        <v>175</v>
      </c>
      <c r="L336" s="298" t="s">
        <v>200</v>
      </c>
      <c r="N336" s="348"/>
      <c r="O336" s="272"/>
    </row>
    <row r="337">
      <c r="A337" s="272"/>
      <c r="B337" s="346">
        <v>1.0</v>
      </c>
      <c r="C337" s="202" t="str">
        <f>E337&amp;F336</f>
        <v>Full Name:K.Anh.600</v>
      </c>
      <c r="D337" s="349" t="s">
        <v>177</v>
      </c>
      <c r="E337" s="347" t="s">
        <v>178</v>
      </c>
      <c r="F337" s="289" t="s">
        <v>200</v>
      </c>
      <c r="J337" s="291" t="s">
        <v>179</v>
      </c>
      <c r="L337" s="298" t="s">
        <v>200</v>
      </c>
      <c r="N337" s="348"/>
      <c r="O337" s="272"/>
    </row>
    <row r="338">
      <c r="A338" s="279"/>
      <c r="B338" s="346">
        <v>1.0</v>
      </c>
      <c r="C338" s="202" t="str">
        <f>E338&amp;F336</f>
        <v>Position:K.Anh.600</v>
      </c>
      <c r="D338" s="349" t="s">
        <v>181</v>
      </c>
      <c r="E338" s="347" t="s">
        <v>182</v>
      </c>
      <c r="F338" s="289" t="s">
        <v>200</v>
      </c>
      <c r="J338" s="291" t="s">
        <v>184</v>
      </c>
      <c r="L338" s="298" t="s">
        <v>200</v>
      </c>
      <c r="N338" s="348"/>
      <c r="O338" s="279"/>
    </row>
    <row r="339">
      <c r="A339" s="279"/>
      <c r="B339" s="346">
        <v>1.0</v>
      </c>
      <c r="C339" s="202" t="str">
        <f>E339&amp;F336</f>
        <v>Birth:K.Anh.600</v>
      </c>
      <c r="D339" s="349" t="s">
        <v>185</v>
      </c>
      <c r="E339" s="347" t="s">
        <v>186</v>
      </c>
      <c r="F339" s="289" t="s">
        <v>212</v>
      </c>
      <c r="J339" s="351"/>
      <c r="K339" s="352"/>
      <c r="L339" s="352"/>
      <c r="M339" s="352"/>
      <c r="N339" s="348"/>
      <c r="O339" s="279"/>
    </row>
    <row r="340">
      <c r="A340" s="277"/>
      <c r="B340" s="346">
        <v>1.0</v>
      </c>
      <c r="C340" s="202" t="str">
        <f>E340&amp;F336</f>
        <v>Experience:K.Anh.600</v>
      </c>
      <c r="D340" s="349" t="s">
        <v>188</v>
      </c>
      <c r="E340" s="347" t="s">
        <v>189</v>
      </c>
      <c r="F340" s="289" t="s">
        <v>200</v>
      </c>
      <c r="J340" s="318"/>
      <c r="K340" s="352"/>
      <c r="L340" s="352"/>
      <c r="M340" s="352"/>
      <c r="N340" s="348"/>
      <c r="O340" s="277"/>
    </row>
    <row r="341">
      <c r="A341" s="277"/>
      <c r="B341" s="346"/>
      <c r="C341" s="374" t="str">
        <f>E341&amp;F336</f>
        <v>Quote:K.Anh.600</v>
      </c>
      <c r="D341" s="353" t="s">
        <v>191</v>
      </c>
      <c r="E341" s="354" t="s">
        <v>192</v>
      </c>
      <c r="F341" s="308" t="s">
        <v>200</v>
      </c>
      <c r="J341" s="318"/>
      <c r="K341" s="352"/>
      <c r="L341" s="352"/>
      <c r="M341" s="352"/>
      <c r="N341" s="348"/>
      <c r="O341" s="277"/>
    </row>
    <row r="342">
      <c r="A342" s="274"/>
      <c r="B342" s="346"/>
      <c r="J342" s="318"/>
      <c r="K342" s="352"/>
      <c r="L342" s="352"/>
      <c r="N342" s="348"/>
      <c r="O342" s="274"/>
    </row>
    <row r="343">
      <c r="A343" s="274"/>
      <c r="B343" s="356"/>
      <c r="G343" s="300" t="str">
        <f>If(H343&gt;=0,"🔴","💣")</f>
        <v>#N/A</v>
      </c>
      <c r="H343" s="309" t="str">
        <f>if(F336="...",0,vlookup(F336,Summary!$E:$V,18,false))</f>
        <v>#N/A</v>
      </c>
      <c r="J343" s="318"/>
      <c r="N343" s="348"/>
      <c r="O343" s="274"/>
    </row>
    <row r="344">
      <c r="A344" s="272"/>
      <c r="B344" s="356"/>
      <c r="C344" s="286" t="str">
        <f>G344&amp;F336</f>
        <v>❤️️K.Anh.600</v>
      </c>
      <c r="D344" s="357"/>
      <c r="E344" s="358"/>
      <c r="F344" s="359"/>
      <c r="G344" s="351" t="s">
        <v>194</v>
      </c>
      <c r="H344" s="309" t="str">
        <f>sumif(L347:L360,"complete",K347:K360)-vlookup(F336,ADDSTORE!$M$3:$O$38,3,false)</f>
        <v>#N/A</v>
      </c>
      <c r="J344" s="360"/>
      <c r="K344" s="360"/>
      <c r="N344" s="348"/>
      <c r="O344" s="272"/>
    </row>
    <row r="345">
      <c r="A345" s="272"/>
      <c r="B345" s="317"/>
      <c r="C345" s="318"/>
      <c r="D345" s="361"/>
      <c r="E345" s="318"/>
      <c r="F345" s="362"/>
      <c r="G345" s="318"/>
      <c r="H345" s="318"/>
      <c r="I345" s="318"/>
      <c r="J345" s="318"/>
      <c r="K345" s="318"/>
      <c r="L345" s="363"/>
      <c r="M345" s="363"/>
      <c r="N345" s="348"/>
      <c r="O345" s="272"/>
    </row>
    <row r="346">
      <c r="A346" s="279"/>
      <c r="B346" s="317"/>
      <c r="C346" s="318"/>
      <c r="D346" s="319" t="s">
        <v>195</v>
      </c>
      <c r="E346" s="320"/>
      <c r="F346" s="320"/>
      <c r="G346" s="320"/>
      <c r="H346" s="320"/>
      <c r="I346" s="321" t="s">
        <v>196</v>
      </c>
      <c r="J346" s="322" t="s">
        <v>197</v>
      </c>
      <c r="K346" s="323" t="s">
        <v>198</v>
      </c>
      <c r="L346" s="322" t="s">
        <v>199</v>
      </c>
      <c r="N346" s="348"/>
      <c r="O346" s="279"/>
    </row>
    <row r="347">
      <c r="A347" s="279"/>
      <c r="B347" s="325" t="str">
        <f t="shared" ref="B347:B360" si="17">if(L347="complete","🏅",if(L347="fail","💢",))</f>
        <v/>
      </c>
      <c r="C347" s="180" t="str">
        <f>L347&amp;F336&amp;D347</f>
        <v>K.Anh.6001</v>
      </c>
      <c r="D347" s="326">
        <v>1.0</v>
      </c>
      <c r="E347" s="327"/>
      <c r="F347" s="328"/>
      <c r="G347" s="328"/>
      <c r="H347" s="328"/>
      <c r="I347" s="329"/>
      <c r="J347" s="330"/>
      <c r="K347" s="365"/>
      <c r="L347" s="364"/>
      <c r="N347" s="348"/>
      <c r="O347" s="279"/>
    </row>
    <row r="348">
      <c r="A348" s="277"/>
      <c r="B348" s="325" t="str">
        <f t="shared" si="17"/>
        <v/>
      </c>
      <c r="C348" s="180" t="str">
        <f>L348&amp;F336&amp;D348</f>
        <v>K.Anh.6002</v>
      </c>
      <c r="D348" s="326">
        <v>2.0</v>
      </c>
      <c r="E348" s="327"/>
      <c r="F348" s="328"/>
      <c r="G348" s="328"/>
      <c r="H348" s="328"/>
      <c r="I348" s="329"/>
      <c r="J348" s="330"/>
      <c r="K348" s="366"/>
      <c r="L348" s="364"/>
      <c r="N348" s="348"/>
      <c r="O348" s="277"/>
    </row>
    <row r="349">
      <c r="A349" s="277"/>
      <c r="B349" s="325" t="str">
        <f t="shared" si="17"/>
        <v/>
      </c>
      <c r="C349" s="180" t="str">
        <f>L349&amp;F336&amp;D349</f>
        <v>K.Anh.6003</v>
      </c>
      <c r="D349" s="326">
        <v>3.0</v>
      </c>
      <c r="E349" s="327"/>
      <c r="F349" s="328"/>
      <c r="G349" s="328"/>
      <c r="H349" s="328"/>
      <c r="I349" s="329"/>
      <c r="J349" s="330"/>
      <c r="K349" s="366"/>
      <c r="L349" s="364"/>
      <c r="N349" s="348"/>
      <c r="O349" s="277"/>
    </row>
    <row r="350">
      <c r="A350" s="278"/>
      <c r="B350" s="325" t="str">
        <f t="shared" si="17"/>
        <v/>
      </c>
      <c r="C350" s="180" t="str">
        <f>L350&amp;F336&amp;D350</f>
        <v>K.Anh.6004</v>
      </c>
      <c r="D350" s="326">
        <v>4.0</v>
      </c>
      <c r="E350" s="327"/>
      <c r="F350" s="328"/>
      <c r="G350" s="328"/>
      <c r="H350" s="328"/>
      <c r="I350" s="329"/>
      <c r="J350" s="330"/>
      <c r="K350" s="365"/>
      <c r="L350" s="364"/>
      <c r="N350" s="348"/>
      <c r="O350" s="278"/>
    </row>
    <row r="351">
      <c r="A351" s="278"/>
      <c r="B351" s="325" t="str">
        <f t="shared" si="17"/>
        <v/>
      </c>
      <c r="C351" s="180" t="str">
        <f>L351&amp;F336&amp;D351</f>
        <v>K.Anh.6005</v>
      </c>
      <c r="D351" s="326">
        <v>5.0</v>
      </c>
      <c r="E351" s="327"/>
      <c r="F351" s="328"/>
      <c r="G351" s="328"/>
      <c r="H351" s="328"/>
      <c r="I351" s="329"/>
      <c r="J351" s="330"/>
      <c r="K351" s="366"/>
      <c r="L351" s="330"/>
      <c r="N351" s="348"/>
      <c r="O351" s="278"/>
    </row>
    <row r="352">
      <c r="A352" s="279"/>
      <c r="B352" s="325" t="str">
        <f t="shared" si="17"/>
        <v/>
      </c>
      <c r="C352" s="180" t="str">
        <f>L352&amp;F336&amp;D352</f>
        <v>K.Anh.6006</v>
      </c>
      <c r="D352" s="326">
        <v>6.0</v>
      </c>
      <c r="E352" s="327"/>
      <c r="F352" s="328"/>
      <c r="G352" s="328"/>
      <c r="H352" s="328"/>
      <c r="I352" s="329"/>
      <c r="J352" s="330"/>
      <c r="K352" s="366"/>
      <c r="L352" s="330"/>
      <c r="N352" s="348"/>
      <c r="O352" s="279"/>
    </row>
    <row r="353">
      <c r="A353" s="279"/>
      <c r="B353" s="325" t="str">
        <f t="shared" si="17"/>
        <v/>
      </c>
      <c r="C353" s="180" t="str">
        <f>L353&amp;F336&amp;D353</f>
        <v>K.Anh.6007</v>
      </c>
      <c r="D353" s="326">
        <v>7.0</v>
      </c>
      <c r="E353" s="327"/>
      <c r="F353" s="328"/>
      <c r="G353" s="328"/>
      <c r="H353" s="328"/>
      <c r="I353" s="329"/>
      <c r="J353" s="330"/>
      <c r="K353" s="366"/>
      <c r="L353" s="330"/>
      <c r="N353" s="348"/>
      <c r="O353" s="279"/>
    </row>
    <row r="354">
      <c r="A354" s="274"/>
      <c r="B354" s="325" t="str">
        <f t="shared" si="17"/>
        <v/>
      </c>
      <c r="C354" s="180" t="str">
        <f>L354&amp;F336&amp;D354</f>
        <v>K.Anh.6008</v>
      </c>
      <c r="D354" s="326">
        <v>8.0</v>
      </c>
      <c r="E354" s="327"/>
      <c r="F354" s="328"/>
      <c r="G354" s="328"/>
      <c r="H354" s="328"/>
      <c r="I354" s="329"/>
      <c r="J354" s="330"/>
      <c r="K354" s="366"/>
      <c r="L354" s="330"/>
      <c r="N354" s="348"/>
      <c r="O354" s="274"/>
    </row>
    <row r="355">
      <c r="A355" s="274"/>
      <c r="B355" s="325" t="str">
        <f t="shared" si="17"/>
        <v/>
      </c>
      <c r="C355" s="180" t="str">
        <f>L355&amp;F336&amp;D355</f>
        <v>K.Anh.6009</v>
      </c>
      <c r="D355" s="326">
        <v>9.0</v>
      </c>
      <c r="E355" s="327"/>
      <c r="F355" s="328"/>
      <c r="G355" s="328"/>
      <c r="H355" s="328"/>
      <c r="I355" s="329"/>
      <c r="J355" s="330"/>
      <c r="K355" s="366"/>
      <c r="L355" s="330"/>
      <c r="N355" s="348"/>
      <c r="O355" s="274"/>
    </row>
    <row r="356">
      <c r="A356" s="272"/>
      <c r="B356" s="325" t="str">
        <f t="shared" si="17"/>
        <v/>
      </c>
      <c r="C356" s="180" t="str">
        <f>L356&amp;F336&amp;D356</f>
        <v>K.Anh.60010</v>
      </c>
      <c r="D356" s="326">
        <v>10.0</v>
      </c>
      <c r="E356" s="327"/>
      <c r="F356" s="328"/>
      <c r="G356" s="328"/>
      <c r="H356" s="328"/>
      <c r="I356" s="329"/>
      <c r="J356" s="330"/>
      <c r="K356" s="366"/>
      <c r="L356" s="330"/>
      <c r="N356" s="348"/>
      <c r="O356" s="272"/>
    </row>
    <row r="357">
      <c r="A357" s="272"/>
      <c r="B357" s="325" t="str">
        <f t="shared" si="17"/>
        <v/>
      </c>
      <c r="C357" s="180" t="str">
        <f>L357&amp;F336&amp;D357</f>
        <v>K.Anh.60011</v>
      </c>
      <c r="D357" s="326">
        <v>11.0</v>
      </c>
      <c r="E357" s="327"/>
      <c r="F357" s="328"/>
      <c r="G357" s="328"/>
      <c r="H357" s="328"/>
      <c r="I357" s="329"/>
      <c r="J357" s="330"/>
      <c r="K357" s="366"/>
      <c r="L357" s="330"/>
      <c r="N357" s="348"/>
      <c r="O357" s="272"/>
    </row>
    <row r="358">
      <c r="A358" s="279"/>
      <c r="B358" s="325" t="str">
        <f t="shared" si="17"/>
        <v/>
      </c>
      <c r="C358" s="180" t="str">
        <f>L358&amp;F336&amp;D358</f>
        <v>K.Anh.60012</v>
      </c>
      <c r="D358" s="326">
        <v>12.0</v>
      </c>
      <c r="E358" s="327"/>
      <c r="F358" s="328"/>
      <c r="G358" s="328"/>
      <c r="H358" s="328"/>
      <c r="I358" s="329"/>
      <c r="J358" s="330"/>
      <c r="K358" s="366"/>
      <c r="L358" s="330"/>
      <c r="N358" s="348"/>
      <c r="O358" s="279"/>
    </row>
    <row r="359">
      <c r="A359" s="279"/>
      <c r="B359" s="325" t="str">
        <f t="shared" si="17"/>
        <v/>
      </c>
      <c r="C359" s="180" t="str">
        <f>L359&amp;F336&amp;D359</f>
        <v>K.Anh.60013</v>
      </c>
      <c r="D359" s="326">
        <v>13.0</v>
      </c>
      <c r="E359" s="327"/>
      <c r="F359" s="328"/>
      <c r="G359" s="328"/>
      <c r="H359" s="328"/>
      <c r="I359" s="329"/>
      <c r="J359" s="330"/>
      <c r="K359" s="366"/>
      <c r="L359" s="330"/>
      <c r="N359" s="348"/>
      <c r="O359" s="279"/>
    </row>
    <row r="360">
      <c r="A360" s="277"/>
      <c r="B360" s="325" t="str">
        <f t="shared" si="17"/>
        <v/>
      </c>
      <c r="C360" s="180" t="str">
        <f>L360&amp;F336&amp;D360</f>
        <v>K.Anh.60014</v>
      </c>
      <c r="D360" s="326">
        <v>14.0</v>
      </c>
      <c r="E360" s="327"/>
      <c r="F360" s="328"/>
      <c r="G360" s="328"/>
      <c r="H360" s="328"/>
      <c r="I360" s="329"/>
      <c r="J360" s="330"/>
      <c r="K360" s="366"/>
      <c r="L360" s="330"/>
      <c r="N360" s="348"/>
      <c r="O360" s="277"/>
    </row>
    <row r="361">
      <c r="A361" s="277"/>
      <c r="B361" s="367"/>
      <c r="C361" s="368"/>
      <c r="D361" s="369"/>
      <c r="E361" s="368"/>
      <c r="F361" s="370"/>
      <c r="G361" s="368"/>
      <c r="H361" s="368"/>
      <c r="I361" s="368"/>
      <c r="J361" s="368"/>
      <c r="K361" s="368"/>
      <c r="L361" s="368"/>
      <c r="M361" s="368"/>
      <c r="N361" s="371"/>
      <c r="O361" s="277"/>
    </row>
    <row r="362">
      <c r="A362" s="278"/>
      <c r="B362" s="339"/>
      <c r="D362" s="339"/>
      <c r="F362" s="340"/>
      <c r="O362" s="278"/>
    </row>
    <row r="363" ht="9.0" customHeight="1">
      <c r="A363" s="382"/>
      <c r="B363" s="383"/>
      <c r="C363" s="384"/>
      <c r="D363" s="385"/>
      <c r="E363" s="271"/>
      <c r="F363" s="386"/>
      <c r="G363" s="263"/>
      <c r="H363" s="83"/>
      <c r="I363" s="263"/>
      <c r="J363" s="266"/>
      <c r="K363" s="271"/>
      <c r="L363" s="382"/>
      <c r="M363" s="382"/>
      <c r="N363" s="382"/>
      <c r="O363" s="382"/>
    </row>
    <row r="364">
      <c r="A364" s="382"/>
      <c r="B364" s="341"/>
      <c r="C364" s="342"/>
      <c r="D364" s="343"/>
      <c r="E364" s="342"/>
      <c r="F364" s="344"/>
      <c r="G364" s="342"/>
      <c r="H364" s="342"/>
      <c r="I364" s="342"/>
      <c r="J364" s="342"/>
      <c r="K364" s="342"/>
      <c r="L364" s="342"/>
      <c r="M364" s="342"/>
      <c r="N364" s="345"/>
      <c r="O364" s="382"/>
    </row>
    <row r="365">
      <c r="A365" s="271"/>
      <c r="B365" s="346">
        <v>1.0</v>
      </c>
      <c r="D365" s="287" t="s">
        <v>171</v>
      </c>
      <c r="E365" s="347" t="s">
        <v>172</v>
      </c>
      <c r="F365" s="289" t="s">
        <v>78</v>
      </c>
      <c r="G365" s="290"/>
      <c r="J365" s="291"/>
      <c r="N365" s="348"/>
      <c r="O365" s="271"/>
    </row>
    <row r="366">
      <c r="A366" s="271"/>
      <c r="B366" s="346">
        <v>1.0</v>
      </c>
      <c r="C366" s="202" t="str">
        <f>E366&amp;F366</f>
        <v>Nick Name:Vu.600</v>
      </c>
      <c r="D366" s="349" t="s">
        <v>173</v>
      </c>
      <c r="E366" s="347" t="s">
        <v>174</v>
      </c>
      <c r="F366" s="289" t="s">
        <v>15</v>
      </c>
      <c r="J366" s="291" t="s">
        <v>175</v>
      </c>
      <c r="L366" s="298" t="s">
        <v>220</v>
      </c>
      <c r="N366" s="348"/>
      <c r="O366" s="271"/>
    </row>
    <row r="367">
      <c r="A367" s="271"/>
      <c r="B367" s="346">
        <v>1.0</v>
      </c>
      <c r="C367" s="202" t="str">
        <f>E367&amp;F366</f>
        <v>Full Name:Vu.600</v>
      </c>
      <c r="D367" s="349" t="s">
        <v>177</v>
      </c>
      <c r="E367" s="347" t="s">
        <v>178</v>
      </c>
      <c r="F367" s="289" t="s">
        <v>146</v>
      </c>
      <c r="J367" s="291" t="s">
        <v>179</v>
      </c>
      <c r="L367" s="298" t="s">
        <v>200</v>
      </c>
      <c r="N367" s="348"/>
      <c r="O367" s="271"/>
    </row>
    <row r="368">
      <c r="A368" s="266"/>
      <c r="B368" s="346">
        <v>1.0</v>
      </c>
      <c r="C368" s="202" t="str">
        <f>E368&amp;F366</f>
        <v>Position:Vu.600</v>
      </c>
      <c r="D368" s="349" t="s">
        <v>181</v>
      </c>
      <c r="E368" s="347" t="s">
        <v>182</v>
      </c>
      <c r="F368" s="289" t="s">
        <v>235</v>
      </c>
      <c r="J368" s="291" t="s">
        <v>184</v>
      </c>
      <c r="L368" s="298" t="s">
        <v>200</v>
      </c>
      <c r="N368" s="348"/>
      <c r="O368" s="266"/>
    </row>
    <row r="369">
      <c r="A369" s="266"/>
      <c r="B369" s="346">
        <v>1.0</v>
      </c>
      <c r="C369" s="202" t="str">
        <f>E369&amp;F366</f>
        <v>Birth:Vu.600</v>
      </c>
      <c r="D369" s="349" t="s">
        <v>185</v>
      </c>
      <c r="E369" s="347" t="s">
        <v>186</v>
      </c>
      <c r="F369" s="372">
        <v>37299.0</v>
      </c>
      <c r="J369" s="351"/>
      <c r="K369" s="352"/>
      <c r="L369" s="352"/>
      <c r="M369" s="352"/>
      <c r="N369" s="348"/>
      <c r="O369" s="266"/>
    </row>
    <row r="370">
      <c r="A370" s="266"/>
      <c r="B370" s="346">
        <v>1.0</v>
      </c>
      <c r="C370" s="202" t="str">
        <f>E370&amp;F366</f>
        <v>Experience:Vu.600</v>
      </c>
      <c r="D370" s="349" t="s">
        <v>188</v>
      </c>
      <c r="E370" s="347" t="s">
        <v>189</v>
      </c>
      <c r="F370" s="289" t="s">
        <v>200</v>
      </c>
      <c r="J370" s="318"/>
      <c r="K370" s="352"/>
      <c r="L370" s="352"/>
      <c r="M370" s="352"/>
      <c r="N370" s="348"/>
      <c r="O370" s="266"/>
    </row>
    <row r="371">
      <c r="A371" s="263"/>
      <c r="B371" s="346"/>
      <c r="C371" s="374" t="str">
        <f>E371&amp;F366</f>
        <v>Quote:Vu.600</v>
      </c>
      <c r="D371" s="353" t="s">
        <v>191</v>
      </c>
      <c r="E371" s="354" t="s">
        <v>192</v>
      </c>
      <c r="F371" s="308" t="s">
        <v>236</v>
      </c>
      <c r="J371" s="318"/>
      <c r="K371" s="352"/>
      <c r="L371" s="352"/>
      <c r="M371" s="352"/>
      <c r="N371" s="348"/>
      <c r="O371" s="263"/>
    </row>
    <row r="372">
      <c r="A372" s="263"/>
      <c r="B372" s="346"/>
      <c r="F372" s="308"/>
      <c r="J372" s="318"/>
      <c r="K372" s="352"/>
      <c r="L372" s="352"/>
      <c r="N372" s="348"/>
      <c r="O372" s="263"/>
    </row>
    <row r="373">
      <c r="A373" s="263"/>
      <c r="B373" s="356"/>
      <c r="F373" s="308"/>
      <c r="G373" s="351" t="str">
        <f>If(H373&gt;=0,"🔴","💣")</f>
        <v>🔴</v>
      </c>
      <c r="H373" s="387">
        <f>if(F366="...",0,vlookup(F366,Summary!$E:$V,18,false))</f>
        <v>0</v>
      </c>
      <c r="J373" s="318"/>
      <c r="N373" s="348"/>
      <c r="O373" s="263"/>
    </row>
    <row r="374">
      <c r="A374" s="83"/>
      <c r="B374" s="356"/>
      <c r="C374" s="286" t="str">
        <f>G374&amp;F366</f>
        <v>❤️️Vu.600</v>
      </c>
      <c r="D374" s="357"/>
      <c r="E374" s="358"/>
      <c r="F374" s="359"/>
      <c r="G374" s="351" t="s">
        <v>194</v>
      </c>
      <c r="H374" s="309">
        <f>sumif(L377:L390,"complete",K377:K390)-vlookup(F366,ADDSTORE!$M$3:$O$38,3,false)</f>
        <v>0</v>
      </c>
      <c r="J374" s="360"/>
      <c r="K374" s="360"/>
      <c r="N374" s="348"/>
      <c r="O374" s="83"/>
    </row>
    <row r="375">
      <c r="A375" s="83"/>
      <c r="B375" s="317"/>
      <c r="C375" s="318"/>
      <c r="D375" s="361"/>
      <c r="E375" s="318"/>
      <c r="F375" s="362"/>
      <c r="G375" s="318"/>
      <c r="H375" s="318"/>
      <c r="I375" s="318"/>
      <c r="J375" s="318"/>
      <c r="K375" s="318"/>
      <c r="L375" s="363"/>
      <c r="M375" s="363"/>
      <c r="N375" s="348"/>
      <c r="O375" s="83"/>
    </row>
    <row r="376">
      <c r="A376" s="83"/>
      <c r="B376" s="317"/>
      <c r="C376" s="318"/>
      <c r="D376" s="319" t="s">
        <v>195</v>
      </c>
      <c r="E376" s="320"/>
      <c r="F376" s="320"/>
      <c r="G376" s="320"/>
      <c r="H376" s="320"/>
      <c r="I376" s="321" t="s">
        <v>196</v>
      </c>
      <c r="J376" s="322" t="s">
        <v>197</v>
      </c>
      <c r="K376" s="323" t="s">
        <v>198</v>
      </c>
      <c r="L376" s="322" t="s">
        <v>199</v>
      </c>
      <c r="N376" s="348"/>
      <c r="O376" s="83"/>
    </row>
    <row r="377">
      <c r="A377" s="382"/>
      <c r="B377" s="325" t="str">
        <f t="shared" ref="B377:B390" si="18">if(L377="complete","🏅",if(L377="fail","💢",))</f>
        <v/>
      </c>
      <c r="C377" s="180" t="str">
        <f>L377&amp;F366&amp;D377</f>
        <v>Vu.6001</v>
      </c>
      <c r="D377" s="326">
        <v>1.0</v>
      </c>
      <c r="E377" s="327"/>
      <c r="F377" s="328"/>
      <c r="G377" s="328"/>
      <c r="H377" s="328"/>
      <c r="I377" s="329"/>
      <c r="J377" s="330"/>
      <c r="K377" s="365"/>
      <c r="L377" s="364"/>
      <c r="N377" s="348"/>
      <c r="O377" s="382"/>
    </row>
    <row r="378">
      <c r="A378" s="382"/>
      <c r="B378" s="325" t="str">
        <f t="shared" si="18"/>
        <v/>
      </c>
      <c r="C378" s="180" t="str">
        <f>L378&amp;F366&amp;D378</f>
        <v>Vu.6002</v>
      </c>
      <c r="D378" s="326">
        <v>2.0</v>
      </c>
      <c r="E378" s="327"/>
      <c r="F378" s="328"/>
      <c r="G378" s="328"/>
      <c r="H378" s="328"/>
      <c r="I378" s="329"/>
      <c r="J378" s="330"/>
      <c r="K378" s="366"/>
      <c r="L378" s="364"/>
      <c r="N378" s="348"/>
      <c r="O378" s="382"/>
    </row>
    <row r="379">
      <c r="A379" s="271"/>
      <c r="B379" s="325" t="str">
        <f t="shared" si="18"/>
        <v/>
      </c>
      <c r="C379" s="180" t="str">
        <f>L379&amp;F366&amp;D379</f>
        <v>Vu.6003</v>
      </c>
      <c r="D379" s="326">
        <v>3.0</v>
      </c>
      <c r="E379" s="327"/>
      <c r="F379" s="328"/>
      <c r="G379" s="328"/>
      <c r="H379" s="328"/>
      <c r="I379" s="329"/>
      <c r="J379" s="330"/>
      <c r="K379" s="366"/>
      <c r="L379" s="364"/>
      <c r="N379" s="348"/>
      <c r="O379" s="271"/>
    </row>
    <row r="380">
      <c r="A380" s="271"/>
      <c r="B380" s="325" t="str">
        <f t="shared" si="18"/>
        <v/>
      </c>
      <c r="C380" s="180" t="str">
        <f>L380&amp;F366&amp;D380</f>
        <v>Vu.6004</v>
      </c>
      <c r="D380" s="326">
        <v>4.0</v>
      </c>
      <c r="E380" s="327"/>
      <c r="F380" s="328"/>
      <c r="G380" s="328"/>
      <c r="H380" s="328"/>
      <c r="I380" s="329"/>
      <c r="J380" s="330"/>
      <c r="K380" s="365"/>
      <c r="L380" s="364"/>
      <c r="N380" s="348"/>
      <c r="O380" s="271"/>
    </row>
    <row r="381">
      <c r="A381" s="271"/>
      <c r="B381" s="325" t="str">
        <f t="shared" si="18"/>
        <v/>
      </c>
      <c r="C381" s="180" t="str">
        <f>L381&amp;F366&amp;D381</f>
        <v>Vu.6005</v>
      </c>
      <c r="D381" s="326">
        <v>5.0</v>
      </c>
      <c r="E381" s="327"/>
      <c r="F381" s="328"/>
      <c r="G381" s="328"/>
      <c r="H381" s="328"/>
      <c r="I381" s="329"/>
      <c r="J381" s="330"/>
      <c r="K381" s="366"/>
      <c r="L381" s="330"/>
      <c r="N381" s="348"/>
      <c r="O381" s="271"/>
    </row>
    <row r="382">
      <c r="A382" s="266"/>
      <c r="B382" s="325" t="str">
        <f t="shared" si="18"/>
        <v/>
      </c>
      <c r="C382" s="180" t="str">
        <f>L382&amp;F366&amp;D382</f>
        <v>Vu.6006</v>
      </c>
      <c r="D382" s="326">
        <v>6.0</v>
      </c>
      <c r="E382" s="327"/>
      <c r="F382" s="328"/>
      <c r="G382" s="328"/>
      <c r="H382" s="328"/>
      <c r="I382" s="329"/>
      <c r="J382" s="330"/>
      <c r="K382" s="366"/>
      <c r="L382" s="330"/>
      <c r="N382" s="348"/>
      <c r="O382" s="266"/>
    </row>
    <row r="383">
      <c r="A383" s="266"/>
      <c r="B383" s="325" t="str">
        <f t="shared" si="18"/>
        <v/>
      </c>
      <c r="C383" s="180" t="str">
        <f>L383&amp;F366&amp;D383</f>
        <v>Vu.6007</v>
      </c>
      <c r="D383" s="326">
        <v>7.0</v>
      </c>
      <c r="E383" s="327"/>
      <c r="F383" s="328"/>
      <c r="G383" s="328"/>
      <c r="H383" s="328"/>
      <c r="I383" s="329"/>
      <c r="J383" s="330"/>
      <c r="K383" s="366"/>
      <c r="L383" s="330"/>
      <c r="N383" s="348"/>
      <c r="O383" s="266"/>
    </row>
    <row r="384">
      <c r="A384" s="266"/>
      <c r="B384" s="325" t="str">
        <f t="shared" si="18"/>
        <v/>
      </c>
      <c r="C384" s="180" t="str">
        <f>L384&amp;F366&amp;D384</f>
        <v>Vu.6008</v>
      </c>
      <c r="D384" s="326">
        <v>8.0</v>
      </c>
      <c r="E384" s="327"/>
      <c r="F384" s="328"/>
      <c r="G384" s="328"/>
      <c r="H384" s="328"/>
      <c r="I384" s="329"/>
      <c r="J384" s="330"/>
      <c r="K384" s="366"/>
      <c r="L384" s="330"/>
      <c r="N384" s="348"/>
      <c r="O384" s="266"/>
    </row>
    <row r="385">
      <c r="A385" s="263"/>
      <c r="B385" s="325" t="str">
        <f t="shared" si="18"/>
        <v/>
      </c>
      <c r="C385" s="180" t="str">
        <f>L385&amp;F366&amp;D385</f>
        <v>Vu.6009</v>
      </c>
      <c r="D385" s="326">
        <v>9.0</v>
      </c>
      <c r="E385" s="327"/>
      <c r="F385" s="328"/>
      <c r="G385" s="328"/>
      <c r="H385" s="328"/>
      <c r="I385" s="329"/>
      <c r="J385" s="330"/>
      <c r="K385" s="366"/>
      <c r="L385" s="330"/>
      <c r="N385" s="348"/>
      <c r="O385" s="263"/>
    </row>
    <row r="386">
      <c r="A386" s="263"/>
      <c r="B386" s="325" t="str">
        <f t="shared" si="18"/>
        <v/>
      </c>
      <c r="C386" s="180" t="str">
        <f>L386&amp;F366&amp;D386</f>
        <v>Vu.60010</v>
      </c>
      <c r="D386" s="326">
        <v>10.0</v>
      </c>
      <c r="E386" s="327"/>
      <c r="F386" s="328"/>
      <c r="G386" s="328"/>
      <c r="H386" s="328"/>
      <c r="I386" s="329"/>
      <c r="J386" s="330"/>
      <c r="K386" s="366"/>
      <c r="L386" s="330"/>
      <c r="N386" s="348"/>
      <c r="O386" s="263"/>
    </row>
    <row r="387">
      <c r="A387" s="263"/>
      <c r="B387" s="325" t="str">
        <f t="shared" si="18"/>
        <v/>
      </c>
      <c r="C387" s="180" t="str">
        <f>L387&amp;F366&amp;D387</f>
        <v>Vu.60011</v>
      </c>
      <c r="D387" s="326">
        <v>11.0</v>
      </c>
      <c r="E387" s="327"/>
      <c r="F387" s="328"/>
      <c r="G387" s="328"/>
      <c r="H387" s="328"/>
      <c r="I387" s="329"/>
      <c r="J387" s="330"/>
      <c r="K387" s="366"/>
      <c r="L387" s="330"/>
      <c r="N387" s="348"/>
      <c r="O387" s="263"/>
    </row>
    <row r="388">
      <c r="A388" s="83"/>
      <c r="B388" s="325" t="str">
        <f t="shared" si="18"/>
        <v/>
      </c>
      <c r="C388" s="180" t="str">
        <f>L388&amp;F366&amp;D388</f>
        <v>Vu.60012</v>
      </c>
      <c r="D388" s="326">
        <v>12.0</v>
      </c>
      <c r="E388" s="327"/>
      <c r="F388" s="328"/>
      <c r="G388" s="328"/>
      <c r="H388" s="328"/>
      <c r="I388" s="329"/>
      <c r="J388" s="330"/>
      <c r="K388" s="366"/>
      <c r="L388" s="330"/>
      <c r="N388" s="348"/>
      <c r="O388" s="83"/>
    </row>
    <row r="389">
      <c r="A389" s="83"/>
      <c r="B389" s="325" t="str">
        <f t="shared" si="18"/>
        <v/>
      </c>
      <c r="C389" s="180" t="str">
        <f>L389&amp;F366&amp;D389</f>
        <v>Vu.60013</v>
      </c>
      <c r="D389" s="326">
        <v>13.0</v>
      </c>
      <c r="E389" s="327"/>
      <c r="F389" s="328"/>
      <c r="G389" s="328"/>
      <c r="H389" s="328"/>
      <c r="I389" s="329"/>
      <c r="J389" s="330"/>
      <c r="K389" s="366"/>
      <c r="L389" s="330"/>
      <c r="N389" s="348"/>
      <c r="O389" s="83"/>
    </row>
    <row r="390">
      <c r="A390" s="83"/>
      <c r="B390" s="325" t="str">
        <f t="shared" si="18"/>
        <v/>
      </c>
      <c r="C390" s="180" t="str">
        <f>L390&amp;F366&amp;D390</f>
        <v>Vu.60014</v>
      </c>
      <c r="D390" s="326">
        <v>14.0</v>
      </c>
      <c r="E390" s="327"/>
      <c r="F390" s="328"/>
      <c r="G390" s="328"/>
      <c r="H390" s="328"/>
      <c r="I390" s="329"/>
      <c r="J390" s="330"/>
      <c r="K390" s="366"/>
      <c r="L390" s="330"/>
      <c r="N390" s="348"/>
      <c r="O390" s="83"/>
    </row>
    <row r="391">
      <c r="A391" s="83"/>
      <c r="B391" s="367"/>
      <c r="C391" s="368"/>
      <c r="D391" s="369"/>
      <c r="E391" s="368"/>
      <c r="F391" s="370"/>
      <c r="G391" s="368"/>
      <c r="H391" s="368"/>
      <c r="I391" s="368"/>
      <c r="J391" s="368"/>
      <c r="K391" s="368"/>
      <c r="L391" s="368"/>
      <c r="M391" s="368"/>
      <c r="N391" s="371"/>
      <c r="O391" s="83"/>
    </row>
    <row r="392">
      <c r="A392" s="83"/>
      <c r="B392" s="339"/>
      <c r="D392" s="339"/>
      <c r="F392" s="340"/>
      <c r="O392" s="83"/>
    </row>
    <row r="393" ht="9.0" customHeight="1">
      <c r="A393" s="274"/>
      <c r="B393" s="275"/>
      <c r="C393" s="274"/>
      <c r="D393" s="275"/>
      <c r="E393" s="272"/>
      <c r="F393" s="276"/>
      <c r="G393" s="277"/>
      <c r="H393" s="278"/>
      <c r="I393" s="278"/>
      <c r="J393" s="277"/>
      <c r="K393" s="279"/>
      <c r="L393" s="272"/>
      <c r="M393" s="274"/>
      <c r="N393" s="274"/>
      <c r="O393" s="274"/>
    </row>
    <row r="394">
      <c r="A394" s="274"/>
      <c r="B394" s="341"/>
      <c r="C394" s="342"/>
      <c r="D394" s="343"/>
      <c r="E394" s="342"/>
      <c r="F394" s="344"/>
      <c r="G394" s="342"/>
      <c r="H394" s="342"/>
      <c r="I394" s="342"/>
      <c r="J394" s="342"/>
      <c r="K394" s="342"/>
      <c r="L394" s="342"/>
      <c r="M394" s="342"/>
      <c r="N394" s="345"/>
      <c r="O394" s="274"/>
    </row>
    <row r="395">
      <c r="A395" s="274"/>
      <c r="B395" s="346">
        <v>1.0</v>
      </c>
      <c r="D395" s="287" t="s">
        <v>171</v>
      </c>
      <c r="E395" s="347" t="s">
        <v>172</v>
      </c>
      <c r="F395" s="289" t="s">
        <v>237</v>
      </c>
      <c r="G395" s="290"/>
      <c r="J395" s="291"/>
      <c r="N395" s="348"/>
      <c r="O395" s="274"/>
    </row>
    <row r="396">
      <c r="A396" s="272"/>
      <c r="B396" s="346">
        <v>1.0</v>
      </c>
      <c r="C396" s="202" t="str">
        <f>E396&amp;F396</f>
        <v>Nick Name:Thang.600</v>
      </c>
      <c r="D396" s="349" t="s">
        <v>173</v>
      </c>
      <c r="E396" s="347" t="s">
        <v>174</v>
      </c>
      <c r="F396" s="289" t="s">
        <v>238</v>
      </c>
      <c r="J396" s="291" t="s">
        <v>175</v>
      </c>
      <c r="L396" s="298" t="s">
        <v>200</v>
      </c>
      <c r="N396" s="348"/>
      <c r="O396" s="272"/>
    </row>
    <row r="397">
      <c r="A397" s="272"/>
      <c r="B397" s="346">
        <v>1.0</v>
      </c>
      <c r="C397" s="202" t="str">
        <f>E397&amp;F396</f>
        <v>Full Name:Thang.600</v>
      </c>
      <c r="D397" s="349" t="s">
        <v>177</v>
      </c>
      <c r="E397" s="347" t="s">
        <v>178</v>
      </c>
      <c r="F397" s="289" t="s">
        <v>239</v>
      </c>
      <c r="J397" s="291" t="s">
        <v>179</v>
      </c>
      <c r="L397" s="298" t="s">
        <v>200</v>
      </c>
      <c r="N397" s="348"/>
      <c r="O397" s="272"/>
    </row>
    <row r="398">
      <c r="A398" s="279"/>
      <c r="B398" s="346">
        <v>1.0</v>
      </c>
      <c r="C398" s="202" t="str">
        <f>E398&amp;F396</f>
        <v>Position:Thang.600</v>
      </c>
      <c r="D398" s="349" t="s">
        <v>181</v>
      </c>
      <c r="E398" s="347" t="s">
        <v>182</v>
      </c>
      <c r="F398" s="289" t="s">
        <v>240</v>
      </c>
      <c r="J398" s="291" t="s">
        <v>184</v>
      </c>
      <c r="L398" s="298" t="s">
        <v>200</v>
      </c>
      <c r="N398" s="348"/>
      <c r="O398" s="279"/>
    </row>
    <row r="399">
      <c r="A399" s="279"/>
      <c r="B399" s="346">
        <v>1.0</v>
      </c>
      <c r="C399" s="202" t="str">
        <f>E399&amp;F396</f>
        <v>Birth:Thang.600</v>
      </c>
      <c r="D399" s="349" t="s">
        <v>185</v>
      </c>
      <c r="E399" s="347" t="s">
        <v>186</v>
      </c>
      <c r="F399" s="289" t="s">
        <v>212</v>
      </c>
      <c r="J399" s="351"/>
      <c r="K399" s="352"/>
      <c r="L399" s="352"/>
      <c r="M399" s="352"/>
      <c r="N399" s="348"/>
      <c r="O399" s="279"/>
    </row>
    <row r="400">
      <c r="A400" s="277"/>
      <c r="B400" s="346">
        <v>1.0</v>
      </c>
      <c r="C400" s="202" t="str">
        <f>E400&amp;F396</f>
        <v>Experience:Thang.600</v>
      </c>
      <c r="D400" s="349" t="s">
        <v>188</v>
      </c>
      <c r="E400" s="347" t="s">
        <v>189</v>
      </c>
      <c r="F400" s="388" t="s">
        <v>200</v>
      </c>
      <c r="J400" s="318"/>
      <c r="K400" s="352"/>
      <c r="L400" s="352"/>
      <c r="M400" s="352"/>
      <c r="N400" s="348"/>
      <c r="O400" s="277"/>
    </row>
    <row r="401">
      <c r="A401" s="277"/>
      <c r="B401" s="346"/>
      <c r="C401" s="374" t="str">
        <f>E401&amp;F396</f>
        <v>Quote:Thang.600</v>
      </c>
      <c r="D401" s="353" t="s">
        <v>191</v>
      </c>
      <c r="E401" s="354" t="s">
        <v>192</v>
      </c>
      <c r="F401" s="308" t="s">
        <v>200</v>
      </c>
      <c r="J401" s="318"/>
      <c r="K401" s="352"/>
      <c r="L401" s="352"/>
      <c r="M401" s="352"/>
      <c r="N401" s="348"/>
      <c r="O401" s="277"/>
    </row>
    <row r="402">
      <c r="A402" s="274"/>
      <c r="B402" s="346"/>
      <c r="J402" s="318"/>
      <c r="K402" s="352"/>
      <c r="L402" s="352"/>
      <c r="N402" s="348"/>
      <c r="O402" s="274"/>
    </row>
    <row r="403">
      <c r="A403" s="274"/>
      <c r="B403" s="356"/>
      <c r="G403" s="300" t="str">
        <f>If(H403&gt;=0,"🔴","💣")</f>
        <v>#N/A</v>
      </c>
      <c r="H403" s="309" t="str">
        <f>if(F396="...",0,vlookup(F396,Summary!$E:$V,18,false))</f>
        <v>#N/A</v>
      </c>
      <c r="J403" s="318"/>
      <c r="N403" s="348"/>
      <c r="O403" s="274"/>
    </row>
    <row r="404">
      <c r="A404" s="272"/>
      <c r="B404" s="356"/>
      <c r="C404" s="286" t="str">
        <f>G404&amp;F396</f>
        <v>❤️️Thang.600</v>
      </c>
      <c r="D404" s="357"/>
      <c r="E404" s="358"/>
      <c r="F404" s="359"/>
      <c r="G404" s="351" t="s">
        <v>194</v>
      </c>
      <c r="H404" s="309" t="str">
        <f>sumif(L407:L420,"complete",K407:K420)-vlookup(F396,ADDSTORE!$M$3:$O$38,3,false)</f>
        <v>#N/A</v>
      </c>
      <c r="J404" s="360"/>
      <c r="K404" s="360"/>
      <c r="N404" s="348"/>
      <c r="O404" s="272"/>
    </row>
    <row r="405">
      <c r="A405" s="272"/>
      <c r="B405" s="317"/>
      <c r="C405" s="318"/>
      <c r="D405" s="361"/>
      <c r="E405" s="318"/>
      <c r="F405" s="362"/>
      <c r="G405" s="318"/>
      <c r="H405" s="318"/>
      <c r="I405" s="318"/>
      <c r="J405" s="318"/>
      <c r="K405" s="318"/>
      <c r="L405" s="363"/>
      <c r="M405" s="363"/>
      <c r="N405" s="348"/>
      <c r="O405" s="272"/>
    </row>
    <row r="406">
      <c r="A406" s="279"/>
      <c r="B406" s="317"/>
      <c r="C406" s="318"/>
      <c r="D406" s="319" t="s">
        <v>195</v>
      </c>
      <c r="E406" s="320"/>
      <c r="F406" s="320"/>
      <c r="G406" s="320"/>
      <c r="H406" s="320"/>
      <c r="I406" s="321" t="s">
        <v>196</v>
      </c>
      <c r="J406" s="322" t="s">
        <v>197</v>
      </c>
      <c r="K406" s="323" t="s">
        <v>198</v>
      </c>
      <c r="L406" s="322" t="s">
        <v>199</v>
      </c>
      <c r="N406" s="348"/>
      <c r="O406" s="279"/>
    </row>
    <row r="407">
      <c r="A407" s="279"/>
      <c r="B407" s="325" t="str">
        <f t="shared" ref="B407:B420" si="19">if(L407="complete","🏅",if(L407="fail","💢",))</f>
        <v/>
      </c>
      <c r="C407" s="180" t="str">
        <f>L407&amp;F396&amp;D407</f>
        <v>Thang.6001</v>
      </c>
      <c r="D407" s="326">
        <v>1.0</v>
      </c>
      <c r="E407" s="327"/>
      <c r="F407" s="328"/>
      <c r="G407" s="328"/>
      <c r="H407" s="328"/>
      <c r="I407" s="329"/>
      <c r="J407" s="330"/>
      <c r="K407" s="365"/>
      <c r="L407" s="364"/>
      <c r="N407" s="348"/>
      <c r="O407" s="279"/>
    </row>
    <row r="408">
      <c r="A408" s="277"/>
      <c r="B408" s="325" t="str">
        <f t="shared" si="19"/>
        <v/>
      </c>
      <c r="C408" s="180" t="str">
        <f>L408&amp;F396&amp;D408</f>
        <v>Thang.6002</v>
      </c>
      <c r="D408" s="326">
        <v>2.0</v>
      </c>
      <c r="E408" s="327"/>
      <c r="F408" s="328"/>
      <c r="G408" s="328"/>
      <c r="H408" s="328"/>
      <c r="I408" s="329"/>
      <c r="J408" s="330"/>
      <c r="K408" s="366"/>
      <c r="L408" s="364"/>
      <c r="N408" s="348"/>
      <c r="O408" s="277"/>
    </row>
    <row r="409">
      <c r="A409" s="277"/>
      <c r="B409" s="325" t="str">
        <f t="shared" si="19"/>
        <v/>
      </c>
      <c r="C409" s="180" t="str">
        <f>L409&amp;F396&amp;D409</f>
        <v>Thang.6003</v>
      </c>
      <c r="D409" s="326">
        <v>3.0</v>
      </c>
      <c r="E409" s="327"/>
      <c r="F409" s="328"/>
      <c r="G409" s="328"/>
      <c r="H409" s="328"/>
      <c r="I409" s="329"/>
      <c r="J409" s="330"/>
      <c r="K409" s="366"/>
      <c r="L409" s="364"/>
      <c r="N409" s="348"/>
      <c r="O409" s="277"/>
    </row>
    <row r="410">
      <c r="A410" s="278"/>
      <c r="B410" s="325" t="str">
        <f t="shared" si="19"/>
        <v/>
      </c>
      <c r="C410" s="180" t="str">
        <f>L410&amp;F396&amp;D410</f>
        <v>Thang.6004</v>
      </c>
      <c r="D410" s="326">
        <v>4.0</v>
      </c>
      <c r="E410" s="327"/>
      <c r="F410" s="328"/>
      <c r="G410" s="328"/>
      <c r="H410" s="328"/>
      <c r="I410" s="329"/>
      <c r="J410" s="330"/>
      <c r="K410" s="365"/>
      <c r="L410" s="364"/>
      <c r="N410" s="348"/>
      <c r="O410" s="278"/>
    </row>
    <row r="411">
      <c r="A411" s="278"/>
      <c r="B411" s="325" t="str">
        <f t="shared" si="19"/>
        <v/>
      </c>
      <c r="C411" s="180" t="str">
        <f>L411&amp;F396&amp;D411</f>
        <v>Thang.6005</v>
      </c>
      <c r="D411" s="326">
        <v>5.0</v>
      </c>
      <c r="E411" s="327"/>
      <c r="F411" s="328"/>
      <c r="G411" s="328"/>
      <c r="H411" s="328"/>
      <c r="I411" s="329"/>
      <c r="J411" s="330"/>
      <c r="K411" s="366"/>
      <c r="L411" s="330"/>
      <c r="N411" s="348"/>
      <c r="O411" s="278"/>
    </row>
    <row r="412">
      <c r="A412" s="279"/>
      <c r="B412" s="325" t="str">
        <f t="shared" si="19"/>
        <v/>
      </c>
      <c r="C412" s="180" t="str">
        <f>L412&amp;F396&amp;D412</f>
        <v>Thang.6006</v>
      </c>
      <c r="D412" s="326">
        <v>6.0</v>
      </c>
      <c r="E412" s="327"/>
      <c r="F412" s="328"/>
      <c r="G412" s="328"/>
      <c r="H412" s="328"/>
      <c r="I412" s="329"/>
      <c r="J412" s="330"/>
      <c r="K412" s="366"/>
      <c r="L412" s="330"/>
      <c r="N412" s="348"/>
      <c r="O412" s="279"/>
    </row>
    <row r="413">
      <c r="A413" s="279"/>
      <c r="B413" s="325" t="str">
        <f t="shared" si="19"/>
        <v/>
      </c>
      <c r="C413" s="180" t="str">
        <f>L413&amp;F396&amp;D413</f>
        <v>Thang.6007</v>
      </c>
      <c r="D413" s="326">
        <v>7.0</v>
      </c>
      <c r="E413" s="327"/>
      <c r="F413" s="328"/>
      <c r="G413" s="328"/>
      <c r="H413" s="328"/>
      <c r="I413" s="329"/>
      <c r="J413" s="330"/>
      <c r="K413" s="366"/>
      <c r="L413" s="330"/>
      <c r="N413" s="348"/>
      <c r="O413" s="279"/>
    </row>
    <row r="414">
      <c r="A414" s="274"/>
      <c r="B414" s="325" t="str">
        <f t="shared" si="19"/>
        <v/>
      </c>
      <c r="C414" s="180" t="str">
        <f>L414&amp;F396&amp;D414</f>
        <v>Thang.6008</v>
      </c>
      <c r="D414" s="326">
        <v>8.0</v>
      </c>
      <c r="E414" s="327"/>
      <c r="F414" s="328"/>
      <c r="G414" s="328"/>
      <c r="H414" s="328"/>
      <c r="I414" s="329"/>
      <c r="J414" s="330"/>
      <c r="K414" s="366"/>
      <c r="L414" s="330"/>
      <c r="N414" s="348"/>
      <c r="O414" s="274"/>
    </row>
    <row r="415">
      <c r="A415" s="274"/>
      <c r="B415" s="325" t="str">
        <f t="shared" si="19"/>
        <v/>
      </c>
      <c r="C415" s="180" t="str">
        <f>L415&amp;F396&amp;D415</f>
        <v>Thang.6009</v>
      </c>
      <c r="D415" s="326">
        <v>9.0</v>
      </c>
      <c r="E415" s="327"/>
      <c r="F415" s="328"/>
      <c r="G415" s="328"/>
      <c r="H415" s="328"/>
      <c r="I415" s="329"/>
      <c r="J415" s="330"/>
      <c r="K415" s="366"/>
      <c r="L415" s="330"/>
      <c r="N415" s="348"/>
      <c r="O415" s="274"/>
    </row>
    <row r="416">
      <c r="A416" s="272"/>
      <c r="B416" s="325" t="str">
        <f t="shared" si="19"/>
        <v/>
      </c>
      <c r="C416" s="180" t="str">
        <f>L416&amp;F396&amp;D416</f>
        <v>Thang.60010</v>
      </c>
      <c r="D416" s="326">
        <v>10.0</v>
      </c>
      <c r="E416" s="327"/>
      <c r="F416" s="328"/>
      <c r="G416" s="328"/>
      <c r="H416" s="328"/>
      <c r="I416" s="329"/>
      <c r="J416" s="330"/>
      <c r="K416" s="366"/>
      <c r="L416" s="330"/>
      <c r="N416" s="348"/>
      <c r="O416" s="272"/>
    </row>
    <row r="417">
      <c r="A417" s="272"/>
      <c r="B417" s="325" t="str">
        <f t="shared" si="19"/>
        <v/>
      </c>
      <c r="C417" s="180" t="str">
        <f>L417&amp;F396&amp;D417</f>
        <v>Thang.60011</v>
      </c>
      <c r="D417" s="326">
        <v>11.0</v>
      </c>
      <c r="E417" s="327"/>
      <c r="F417" s="328"/>
      <c r="G417" s="328"/>
      <c r="H417" s="328"/>
      <c r="I417" s="329"/>
      <c r="J417" s="330"/>
      <c r="K417" s="366"/>
      <c r="L417" s="330"/>
      <c r="N417" s="348"/>
      <c r="O417" s="272"/>
    </row>
    <row r="418">
      <c r="A418" s="279"/>
      <c r="B418" s="325" t="str">
        <f t="shared" si="19"/>
        <v/>
      </c>
      <c r="C418" s="180" t="str">
        <f>L418&amp;F396&amp;D418</f>
        <v>Thang.60012</v>
      </c>
      <c r="D418" s="326">
        <v>12.0</v>
      </c>
      <c r="E418" s="327"/>
      <c r="F418" s="328"/>
      <c r="G418" s="328"/>
      <c r="H418" s="328"/>
      <c r="I418" s="329"/>
      <c r="J418" s="330"/>
      <c r="K418" s="366"/>
      <c r="L418" s="330"/>
      <c r="N418" s="348"/>
      <c r="O418" s="279"/>
    </row>
    <row r="419">
      <c r="A419" s="279"/>
      <c r="B419" s="325" t="str">
        <f t="shared" si="19"/>
        <v/>
      </c>
      <c r="C419" s="180" t="str">
        <f>L419&amp;F396&amp;D419</f>
        <v>Thang.60013</v>
      </c>
      <c r="D419" s="326">
        <v>13.0</v>
      </c>
      <c r="E419" s="327"/>
      <c r="F419" s="328"/>
      <c r="G419" s="328"/>
      <c r="H419" s="328"/>
      <c r="I419" s="329"/>
      <c r="J419" s="330"/>
      <c r="K419" s="366"/>
      <c r="L419" s="330"/>
      <c r="N419" s="348"/>
      <c r="O419" s="279"/>
    </row>
    <row r="420">
      <c r="A420" s="277"/>
      <c r="B420" s="325" t="str">
        <f t="shared" si="19"/>
        <v/>
      </c>
      <c r="C420" s="180" t="str">
        <f>L420&amp;F396&amp;D420</f>
        <v>Thang.60014</v>
      </c>
      <c r="D420" s="326">
        <v>14.0</v>
      </c>
      <c r="E420" s="327"/>
      <c r="F420" s="328"/>
      <c r="G420" s="328"/>
      <c r="H420" s="328"/>
      <c r="I420" s="329"/>
      <c r="J420" s="330"/>
      <c r="K420" s="366"/>
      <c r="L420" s="330"/>
      <c r="N420" s="348"/>
      <c r="O420" s="277"/>
    </row>
    <row r="421">
      <c r="A421" s="277"/>
      <c r="B421" s="367"/>
      <c r="C421" s="368"/>
      <c r="D421" s="369"/>
      <c r="E421" s="368"/>
      <c r="F421" s="370"/>
      <c r="G421" s="368"/>
      <c r="H421" s="368"/>
      <c r="I421" s="368"/>
      <c r="J421" s="368"/>
      <c r="K421" s="368"/>
      <c r="L421" s="368"/>
      <c r="M421" s="368"/>
      <c r="N421" s="371"/>
      <c r="O421" s="277"/>
    </row>
    <row r="422">
      <c r="A422" s="278"/>
      <c r="B422" s="339"/>
      <c r="D422" s="339"/>
      <c r="F422" s="340"/>
      <c r="O422" s="278"/>
    </row>
    <row r="423" ht="9.0" customHeight="1">
      <c r="A423" s="274"/>
      <c r="B423" s="275"/>
      <c r="C423" s="274"/>
      <c r="D423" s="275"/>
      <c r="E423" s="272"/>
      <c r="F423" s="276"/>
      <c r="G423" s="277"/>
      <c r="H423" s="278"/>
      <c r="I423" s="278"/>
      <c r="J423" s="277"/>
      <c r="K423" s="279"/>
      <c r="L423" s="272"/>
      <c r="M423" s="274"/>
      <c r="N423" s="274"/>
      <c r="O423" s="274"/>
    </row>
    <row r="424">
      <c r="A424" s="274"/>
      <c r="B424" s="341"/>
      <c r="C424" s="342"/>
      <c r="D424" s="343"/>
      <c r="E424" s="342"/>
      <c r="F424" s="344"/>
      <c r="G424" s="342"/>
      <c r="H424" s="342"/>
      <c r="I424" s="342"/>
      <c r="J424" s="342"/>
      <c r="K424" s="342"/>
      <c r="L424" s="342"/>
      <c r="M424" s="342"/>
      <c r="N424" s="345"/>
      <c r="O424" s="274"/>
    </row>
    <row r="425">
      <c r="A425" s="274"/>
      <c r="B425" s="346">
        <v>1.0</v>
      </c>
      <c r="D425" s="287" t="s">
        <v>171</v>
      </c>
      <c r="E425" s="347" t="s">
        <v>172</v>
      </c>
      <c r="F425" s="289" t="s">
        <v>39</v>
      </c>
      <c r="G425" s="290"/>
      <c r="J425" s="291"/>
      <c r="N425" s="348"/>
      <c r="O425" s="274"/>
    </row>
    <row r="426">
      <c r="A426" s="272"/>
      <c r="B426" s="346">
        <v>1.0</v>
      </c>
      <c r="C426" s="202" t="str">
        <f>E426&amp;F426</f>
        <v>Nick Name:Hieu.600</v>
      </c>
      <c r="D426" s="349" t="s">
        <v>173</v>
      </c>
      <c r="E426" s="347" t="s">
        <v>174</v>
      </c>
      <c r="F426" s="289" t="s">
        <v>3</v>
      </c>
      <c r="J426" s="291" t="s">
        <v>175</v>
      </c>
      <c r="L426" s="298" t="s">
        <v>220</v>
      </c>
      <c r="N426" s="348"/>
      <c r="O426" s="272"/>
    </row>
    <row r="427">
      <c r="A427" s="272"/>
      <c r="B427" s="346">
        <v>1.0</v>
      </c>
      <c r="C427" s="202" t="str">
        <f>E427&amp;F426</f>
        <v>Full Name:Hieu.600</v>
      </c>
      <c r="D427" s="349" t="s">
        <v>177</v>
      </c>
      <c r="E427" s="347" t="s">
        <v>178</v>
      </c>
      <c r="F427" s="289" t="s">
        <v>241</v>
      </c>
      <c r="J427" s="291" t="s">
        <v>179</v>
      </c>
      <c r="L427" s="289" t="s">
        <v>200</v>
      </c>
      <c r="N427" s="348"/>
      <c r="O427" s="272"/>
    </row>
    <row r="428">
      <c r="A428" s="279"/>
      <c r="B428" s="346">
        <v>1.0</v>
      </c>
      <c r="C428" s="202" t="str">
        <f>E428&amp;F426</f>
        <v>Position:Hieu.600</v>
      </c>
      <c r="D428" s="349" t="s">
        <v>181</v>
      </c>
      <c r="E428" s="347" t="s">
        <v>182</v>
      </c>
      <c r="F428" s="289" t="s">
        <v>214</v>
      </c>
      <c r="J428" s="291" t="s">
        <v>184</v>
      </c>
      <c r="L428" s="289" t="s">
        <v>200</v>
      </c>
      <c r="N428" s="348"/>
      <c r="O428" s="279"/>
    </row>
    <row r="429">
      <c r="A429" s="279"/>
      <c r="B429" s="346">
        <v>1.0</v>
      </c>
      <c r="C429" s="202" t="str">
        <f>E429&amp;F426</f>
        <v>Birth:Hieu.600</v>
      </c>
      <c r="D429" s="349" t="s">
        <v>185</v>
      </c>
      <c r="E429" s="347" t="s">
        <v>186</v>
      </c>
      <c r="F429" s="372">
        <v>34465.0</v>
      </c>
      <c r="J429" s="351"/>
      <c r="K429" s="352"/>
      <c r="L429" s="352"/>
      <c r="M429" s="352"/>
      <c r="N429" s="348"/>
      <c r="O429" s="279"/>
    </row>
    <row r="430">
      <c r="A430" s="277"/>
      <c r="B430" s="346">
        <v>1.0</v>
      </c>
      <c r="C430" s="202" t="str">
        <f>E430&amp;F426</f>
        <v>Experience:Hieu.600</v>
      </c>
      <c r="D430" s="349" t="s">
        <v>188</v>
      </c>
      <c r="E430" s="347" t="s">
        <v>189</v>
      </c>
      <c r="F430" s="289" t="s">
        <v>205</v>
      </c>
      <c r="J430" s="318"/>
      <c r="K430" s="352"/>
      <c r="L430" s="352"/>
      <c r="M430" s="352"/>
      <c r="N430" s="348"/>
      <c r="O430" s="277"/>
    </row>
    <row r="431">
      <c r="A431" s="277"/>
      <c r="B431" s="346"/>
      <c r="C431" s="374" t="str">
        <f>E431&amp;F426</f>
        <v>Quote:Hieu.600</v>
      </c>
      <c r="D431" s="353" t="s">
        <v>191</v>
      </c>
      <c r="E431" s="354" t="s">
        <v>192</v>
      </c>
      <c r="F431" s="308" t="s">
        <v>242</v>
      </c>
      <c r="J431" s="318"/>
      <c r="K431" s="352"/>
      <c r="L431" s="352"/>
      <c r="M431" s="352"/>
      <c r="N431" s="348"/>
      <c r="O431" s="277"/>
    </row>
    <row r="432">
      <c r="A432" s="274"/>
      <c r="B432" s="346"/>
      <c r="J432" s="318"/>
      <c r="K432" s="352"/>
      <c r="L432" s="352"/>
      <c r="N432" s="348"/>
      <c r="O432" s="274"/>
    </row>
    <row r="433">
      <c r="A433" s="274"/>
      <c r="B433" s="356"/>
      <c r="G433" s="300" t="str">
        <f>If(H433&gt;=0,"🔴","💣")</f>
        <v>🔴</v>
      </c>
      <c r="H433" s="309">
        <f>if(F426="...",0,vlookup(F426,Summary!$E:$V,18,false))</f>
        <v>0</v>
      </c>
      <c r="J433" s="318"/>
      <c r="N433" s="348"/>
      <c r="O433" s="274"/>
    </row>
    <row r="434">
      <c r="A434" s="272"/>
      <c r="B434" s="356"/>
      <c r="C434" s="286" t="str">
        <f>G434&amp;F426</f>
        <v>❤️️Hieu.600</v>
      </c>
      <c r="D434" s="357"/>
      <c r="E434" s="358"/>
      <c r="F434" s="359"/>
      <c r="G434" s="351" t="s">
        <v>194</v>
      </c>
      <c r="H434" s="309" t="str">
        <f>sumif(L437:L450,"complete",K437:K450)-vlookup(F426,ADDSTORE!$M$3:$O$38,3,false)</f>
        <v>#N/A</v>
      </c>
      <c r="J434" s="360"/>
      <c r="K434" s="360"/>
      <c r="N434" s="348"/>
      <c r="O434" s="272"/>
    </row>
    <row r="435">
      <c r="A435" s="272"/>
      <c r="B435" s="317"/>
      <c r="C435" s="318"/>
      <c r="D435" s="361"/>
      <c r="E435" s="318"/>
      <c r="F435" s="362"/>
      <c r="G435" s="318"/>
      <c r="H435" s="318"/>
      <c r="I435" s="318"/>
      <c r="J435" s="318"/>
      <c r="K435" s="318"/>
      <c r="L435" s="363"/>
      <c r="M435" s="363"/>
      <c r="N435" s="348"/>
      <c r="O435" s="272"/>
    </row>
    <row r="436">
      <c r="A436" s="279"/>
      <c r="B436" s="317"/>
      <c r="C436" s="318"/>
      <c r="D436" s="319" t="s">
        <v>195</v>
      </c>
      <c r="E436" s="320"/>
      <c r="F436" s="320"/>
      <c r="G436" s="320"/>
      <c r="H436" s="320"/>
      <c r="I436" s="321" t="s">
        <v>196</v>
      </c>
      <c r="J436" s="322" t="s">
        <v>197</v>
      </c>
      <c r="K436" s="323" t="s">
        <v>198</v>
      </c>
      <c r="L436" s="322" t="s">
        <v>199</v>
      </c>
      <c r="N436" s="348"/>
      <c r="O436" s="279"/>
    </row>
    <row r="437">
      <c r="A437" s="279"/>
      <c r="B437" s="325" t="str">
        <f t="shared" ref="B437:B450" si="20">if(L437="complete","🏅",if(L437="fail","💢",))</f>
        <v/>
      </c>
      <c r="C437" s="180" t="str">
        <f>L437&amp;F426&amp;D437</f>
        <v>Hieu.6001</v>
      </c>
      <c r="D437" s="326">
        <v>1.0</v>
      </c>
      <c r="E437" s="327"/>
      <c r="F437" s="328"/>
      <c r="G437" s="328"/>
      <c r="H437" s="328"/>
      <c r="I437" s="329"/>
      <c r="J437" s="330"/>
      <c r="K437" s="365"/>
      <c r="L437" s="364"/>
      <c r="N437" s="348"/>
      <c r="O437" s="279"/>
    </row>
    <row r="438">
      <c r="A438" s="277"/>
      <c r="B438" s="325" t="str">
        <f t="shared" si="20"/>
        <v/>
      </c>
      <c r="C438" s="180" t="str">
        <f>L438&amp;F426&amp;D438</f>
        <v>Hieu.6002</v>
      </c>
      <c r="D438" s="326">
        <v>2.0</v>
      </c>
      <c r="E438" s="327"/>
      <c r="F438" s="328"/>
      <c r="G438" s="328"/>
      <c r="H438" s="328"/>
      <c r="I438" s="329"/>
      <c r="J438" s="330"/>
      <c r="K438" s="366"/>
      <c r="L438" s="364"/>
      <c r="N438" s="348"/>
      <c r="O438" s="277"/>
    </row>
    <row r="439">
      <c r="A439" s="277"/>
      <c r="B439" s="325" t="str">
        <f t="shared" si="20"/>
        <v/>
      </c>
      <c r="C439" s="180" t="str">
        <f>L439&amp;F426&amp;D439</f>
        <v>Hieu.6003</v>
      </c>
      <c r="D439" s="326">
        <v>3.0</v>
      </c>
      <c r="E439" s="327"/>
      <c r="F439" s="328"/>
      <c r="G439" s="328"/>
      <c r="H439" s="328"/>
      <c r="I439" s="329"/>
      <c r="J439" s="330"/>
      <c r="K439" s="366"/>
      <c r="L439" s="364"/>
      <c r="N439" s="348"/>
      <c r="O439" s="277"/>
    </row>
    <row r="440">
      <c r="A440" s="278"/>
      <c r="B440" s="325" t="str">
        <f t="shared" si="20"/>
        <v/>
      </c>
      <c r="C440" s="180" t="str">
        <f>L440&amp;F426&amp;D440</f>
        <v>Hieu.6004</v>
      </c>
      <c r="D440" s="326">
        <v>4.0</v>
      </c>
      <c r="E440" s="327"/>
      <c r="F440" s="328"/>
      <c r="G440" s="328"/>
      <c r="H440" s="328"/>
      <c r="I440" s="329"/>
      <c r="J440" s="330"/>
      <c r="K440" s="365"/>
      <c r="L440" s="364"/>
      <c r="N440" s="348"/>
      <c r="O440" s="278"/>
    </row>
    <row r="441">
      <c r="A441" s="278"/>
      <c r="B441" s="325" t="str">
        <f t="shared" si="20"/>
        <v/>
      </c>
      <c r="C441" s="180" t="str">
        <f>L441&amp;F426&amp;D441</f>
        <v>Hieu.6005</v>
      </c>
      <c r="D441" s="326">
        <v>5.0</v>
      </c>
      <c r="E441" s="327"/>
      <c r="F441" s="328"/>
      <c r="G441" s="328"/>
      <c r="H441" s="328"/>
      <c r="I441" s="329"/>
      <c r="J441" s="330"/>
      <c r="K441" s="366"/>
      <c r="L441" s="330"/>
      <c r="N441" s="348"/>
      <c r="O441" s="278"/>
    </row>
    <row r="442">
      <c r="A442" s="279"/>
      <c r="B442" s="325" t="str">
        <f t="shared" si="20"/>
        <v/>
      </c>
      <c r="C442" s="180" t="str">
        <f>L442&amp;F426&amp;D442</f>
        <v>Hieu.6006</v>
      </c>
      <c r="D442" s="326">
        <v>6.0</v>
      </c>
      <c r="E442" s="327"/>
      <c r="F442" s="328"/>
      <c r="G442" s="328"/>
      <c r="H442" s="328"/>
      <c r="I442" s="329"/>
      <c r="J442" s="330"/>
      <c r="K442" s="366"/>
      <c r="L442" s="330"/>
      <c r="N442" s="348"/>
      <c r="O442" s="279"/>
    </row>
    <row r="443">
      <c r="A443" s="279"/>
      <c r="B443" s="325" t="str">
        <f t="shared" si="20"/>
        <v/>
      </c>
      <c r="C443" s="180" t="str">
        <f>L443&amp;F426&amp;D443</f>
        <v>Hieu.6007</v>
      </c>
      <c r="D443" s="326">
        <v>7.0</v>
      </c>
      <c r="E443" s="327"/>
      <c r="F443" s="328"/>
      <c r="G443" s="328"/>
      <c r="H443" s="328"/>
      <c r="I443" s="329"/>
      <c r="J443" s="330"/>
      <c r="K443" s="366"/>
      <c r="L443" s="330"/>
      <c r="N443" s="348"/>
      <c r="O443" s="279"/>
    </row>
    <row r="444">
      <c r="A444" s="274"/>
      <c r="B444" s="325" t="str">
        <f t="shared" si="20"/>
        <v/>
      </c>
      <c r="C444" s="180" t="str">
        <f>L444&amp;F426&amp;D444</f>
        <v>Hieu.6008</v>
      </c>
      <c r="D444" s="326">
        <v>8.0</v>
      </c>
      <c r="E444" s="327"/>
      <c r="F444" s="328"/>
      <c r="G444" s="328"/>
      <c r="H444" s="328"/>
      <c r="I444" s="329"/>
      <c r="J444" s="330"/>
      <c r="K444" s="366"/>
      <c r="L444" s="330"/>
      <c r="N444" s="348"/>
      <c r="O444" s="274"/>
    </row>
    <row r="445">
      <c r="A445" s="274"/>
      <c r="B445" s="325" t="str">
        <f t="shared" si="20"/>
        <v/>
      </c>
      <c r="C445" s="180" t="str">
        <f>L445&amp;F426&amp;D445</f>
        <v>Hieu.6009</v>
      </c>
      <c r="D445" s="326">
        <v>9.0</v>
      </c>
      <c r="E445" s="327"/>
      <c r="F445" s="328"/>
      <c r="G445" s="328"/>
      <c r="H445" s="328"/>
      <c r="I445" s="329"/>
      <c r="J445" s="330"/>
      <c r="K445" s="366"/>
      <c r="L445" s="330"/>
      <c r="N445" s="348"/>
      <c r="O445" s="274"/>
    </row>
    <row r="446">
      <c r="A446" s="272"/>
      <c r="B446" s="325" t="str">
        <f t="shared" si="20"/>
        <v/>
      </c>
      <c r="C446" s="180" t="str">
        <f>L446&amp;F426&amp;D446</f>
        <v>Hieu.60010</v>
      </c>
      <c r="D446" s="326">
        <v>10.0</v>
      </c>
      <c r="E446" s="327"/>
      <c r="F446" s="328"/>
      <c r="G446" s="328"/>
      <c r="H446" s="328"/>
      <c r="I446" s="329"/>
      <c r="J446" s="330"/>
      <c r="K446" s="366"/>
      <c r="L446" s="330"/>
      <c r="N446" s="348"/>
      <c r="O446" s="272"/>
    </row>
    <row r="447">
      <c r="A447" s="272"/>
      <c r="B447" s="325" t="str">
        <f t="shared" si="20"/>
        <v/>
      </c>
      <c r="C447" s="180" t="str">
        <f>L447&amp;F426&amp;D447</f>
        <v>Hieu.60011</v>
      </c>
      <c r="D447" s="326">
        <v>11.0</v>
      </c>
      <c r="E447" s="327"/>
      <c r="F447" s="328"/>
      <c r="G447" s="328"/>
      <c r="H447" s="328"/>
      <c r="I447" s="329"/>
      <c r="J447" s="330"/>
      <c r="K447" s="366"/>
      <c r="L447" s="330"/>
      <c r="N447" s="348"/>
      <c r="O447" s="272"/>
    </row>
    <row r="448">
      <c r="A448" s="279"/>
      <c r="B448" s="325" t="str">
        <f t="shared" si="20"/>
        <v/>
      </c>
      <c r="C448" s="180" t="str">
        <f>L448&amp;F426&amp;D448</f>
        <v>Hieu.60012</v>
      </c>
      <c r="D448" s="326">
        <v>12.0</v>
      </c>
      <c r="E448" s="327"/>
      <c r="F448" s="328"/>
      <c r="G448" s="328"/>
      <c r="H448" s="328"/>
      <c r="I448" s="329"/>
      <c r="J448" s="330"/>
      <c r="K448" s="366"/>
      <c r="L448" s="330"/>
      <c r="N448" s="348"/>
      <c r="O448" s="279"/>
    </row>
    <row r="449">
      <c r="A449" s="279"/>
      <c r="B449" s="325" t="str">
        <f t="shared" si="20"/>
        <v/>
      </c>
      <c r="C449" s="180" t="str">
        <f>L449&amp;F426&amp;D449</f>
        <v>Hieu.60013</v>
      </c>
      <c r="D449" s="326">
        <v>13.0</v>
      </c>
      <c r="E449" s="327"/>
      <c r="F449" s="328"/>
      <c r="G449" s="328"/>
      <c r="H449" s="328"/>
      <c r="I449" s="329"/>
      <c r="J449" s="330"/>
      <c r="K449" s="366"/>
      <c r="L449" s="330"/>
      <c r="N449" s="348"/>
      <c r="O449" s="279"/>
    </row>
    <row r="450">
      <c r="A450" s="277"/>
      <c r="B450" s="325" t="str">
        <f t="shared" si="20"/>
        <v/>
      </c>
      <c r="C450" s="180" t="str">
        <f>L450&amp;F426&amp;D450</f>
        <v>Hieu.60014</v>
      </c>
      <c r="D450" s="326">
        <v>14.0</v>
      </c>
      <c r="E450" s="327"/>
      <c r="F450" s="328"/>
      <c r="G450" s="328"/>
      <c r="H450" s="328"/>
      <c r="I450" s="329"/>
      <c r="J450" s="330"/>
      <c r="K450" s="366"/>
      <c r="L450" s="330"/>
      <c r="N450" s="348"/>
      <c r="O450" s="277"/>
    </row>
    <row r="451">
      <c r="A451" s="277"/>
      <c r="B451" s="367"/>
      <c r="C451" s="368"/>
      <c r="D451" s="369"/>
      <c r="E451" s="368"/>
      <c r="F451" s="370"/>
      <c r="G451" s="368"/>
      <c r="H451" s="368"/>
      <c r="I451" s="368"/>
      <c r="J451" s="368"/>
      <c r="K451" s="368"/>
      <c r="L451" s="368"/>
      <c r="M451" s="368"/>
      <c r="N451" s="371"/>
      <c r="O451" s="277"/>
    </row>
    <row r="452">
      <c r="A452" s="278"/>
      <c r="B452" s="339"/>
      <c r="D452" s="339"/>
      <c r="F452" s="340"/>
      <c r="O452" s="278"/>
    </row>
    <row r="453" ht="9.0" hidden="1" customHeight="1">
      <c r="A453" s="274"/>
      <c r="B453" s="275"/>
      <c r="C453" s="274"/>
      <c r="D453" s="275"/>
      <c r="E453" s="272"/>
      <c r="F453" s="276"/>
      <c r="G453" s="277"/>
      <c r="H453" s="278"/>
      <c r="I453" s="278"/>
      <c r="J453" s="277"/>
      <c r="K453" s="279"/>
      <c r="L453" s="272"/>
      <c r="M453" s="274"/>
      <c r="N453" s="274"/>
      <c r="O453" s="274"/>
    </row>
    <row r="454" hidden="1">
      <c r="A454" s="274"/>
      <c r="B454" s="341"/>
      <c r="C454" s="342"/>
      <c r="D454" s="343"/>
      <c r="E454" s="342"/>
      <c r="F454" s="344"/>
      <c r="G454" s="342"/>
      <c r="H454" s="342"/>
      <c r="I454" s="342"/>
      <c r="J454" s="342"/>
      <c r="K454" s="342"/>
      <c r="L454" s="342"/>
      <c r="M454" s="342"/>
      <c r="N454" s="345"/>
      <c r="O454" s="274"/>
    </row>
    <row r="455" hidden="1">
      <c r="A455" s="274"/>
      <c r="B455" s="346">
        <v>1.0</v>
      </c>
      <c r="D455" s="287" t="s">
        <v>171</v>
      </c>
      <c r="E455" s="347" t="s">
        <v>172</v>
      </c>
      <c r="F455" s="289" t="s">
        <v>200</v>
      </c>
      <c r="G455" s="290"/>
      <c r="J455" s="291"/>
      <c r="N455" s="348"/>
      <c r="O455" s="274"/>
    </row>
    <row r="456" hidden="1">
      <c r="A456" s="272"/>
      <c r="B456" s="346">
        <v>1.0</v>
      </c>
      <c r="C456" s="202" t="str">
        <f>E456&amp;F456</f>
        <v>Nick Name:...</v>
      </c>
      <c r="D456" s="349" t="s">
        <v>173</v>
      </c>
      <c r="E456" s="347" t="s">
        <v>174</v>
      </c>
      <c r="F456" s="289" t="s">
        <v>200</v>
      </c>
      <c r="J456" s="291" t="s">
        <v>175</v>
      </c>
      <c r="L456" s="298" t="s">
        <v>200</v>
      </c>
      <c r="N456" s="348"/>
      <c r="O456" s="272"/>
    </row>
    <row r="457" hidden="1">
      <c r="A457" s="272"/>
      <c r="B457" s="346">
        <v>1.0</v>
      </c>
      <c r="C457" s="202" t="str">
        <f>E457&amp;F456</f>
        <v>Full Name:...</v>
      </c>
      <c r="D457" s="349" t="s">
        <v>177</v>
      </c>
      <c r="E457" s="347" t="s">
        <v>178</v>
      </c>
      <c r="F457" s="289" t="s">
        <v>200</v>
      </c>
      <c r="J457" s="291" t="s">
        <v>179</v>
      </c>
      <c r="L457" s="298" t="s">
        <v>200</v>
      </c>
      <c r="N457" s="348"/>
      <c r="O457" s="272"/>
    </row>
    <row r="458" hidden="1">
      <c r="A458" s="279"/>
      <c r="B458" s="346">
        <v>1.0</v>
      </c>
      <c r="C458" s="202" t="str">
        <f>E458&amp;F456</f>
        <v>Position:...</v>
      </c>
      <c r="D458" s="349" t="s">
        <v>181</v>
      </c>
      <c r="E458" s="347" t="s">
        <v>182</v>
      </c>
      <c r="F458" s="289" t="s">
        <v>200</v>
      </c>
      <c r="J458" s="291" t="s">
        <v>184</v>
      </c>
      <c r="L458" s="298" t="s">
        <v>200</v>
      </c>
      <c r="N458" s="348"/>
      <c r="O458" s="279"/>
    </row>
    <row r="459" hidden="1">
      <c r="A459" s="279"/>
      <c r="B459" s="346">
        <v>1.0</v>
      </c>
      <c r="C459" s="202" t="str">
        <f>E459&amp;F456</f>
        <v>Birth:...</v>
      </c>
      <c r="D459" s="349" t="s">
        <v>185</v>
      </c>
      <c r="E459" s="347" t="s">
        <v>186</v>
      </c>
      <c r="F459" s="289" t="s">
        <v>212</v>
      </c>
      <c r="J459" s="351"/>
      <c r="K459" s="352"/>
      <c r="L459" s="352"/>
      <c r="M459" s="352"/>
      <c r="N459" s="348"/>
      <c r="O459" s="279"/>
    </row>
    <row r="460" hidden="1">
      <c r="A460" s="277"/>
      <c r="B460" s="346">
        <v>1.0</v>
      </c>
      <c r="C460" s="202" t="str">
        <f>E460&amp;F456</f>
        <v>Experience:...</v>
      </c>
      <c r="D460" s="349" t="s">
        <v>188</v>
      </c>
      <c r="E460" s="347" t="s">
        <v>189</v>
      </c>
      <c r="F460" s="289" t="s">
        <v>200</v>
      </c>
      <c r="J460" s="318"/>
      <c r="K460" s="352"/>
      <c r="L460" s="352"/>
      <c r="M460" s="352"/>
      <c r="N460" s="348"/>
      <c r="O460" s="277"/>
    </row>
    <row r="461" hidden="1">
      <c r="A461" s="277"/>
      <c r="B461" s="346"/>
      <c r="C461" s="374" t="str">
        <f>E461&amp;F456</f>
        <v>Quote:...</v>
      </c>
      <c r="D461" s="353" t="s">
        <v>191</v>
      </c>
      <c r="E461" s="354" t="s">
        <v>192</v>
      </c>
      <c r="F461" s="308" t="s">
        <v>200</v>
      </c>
      <c r="J461" s="318"/>
      <c r="K461" s="352"/>
      <c r="L461" s="352"/>
      <c r="M461" s="352"/>
      <c r="N461" s="348"/>
      <c r="O461" s="277"/>
    </row>
    <row r="462" hidden="1">
      <c r="A462" s="274"/>
      <c r="B462" s="346"/>
      <c r="J462" s="318"/>
      <c r="K462" s="352"/>
      <c r="L462" s="352"/>
      <c r="N462" s="348"/>
      <c r="O462" s="274"/>
    </row>
    <row r="463" hidden="1">
      <c r="A463" s="274"/>
      <c r="B463" s="356"/>
      <c r="G463" s="300" t="str">
        <f>If(H463&gt;=0,"🔴","💣")</f>
        <v>🔴</v>
      </c>
      <c r="H463" s="309">
        <f>if(F456="...",0,vlookup(F456,Summary!$E:$V,18,false))</f>
        <v>0</v>
      </c>
      <c r="J463" s="318"/>
      <c r="N463" s="348"/>
      <c r="O463" s="274"/>
    </row>
    <row r="464" hidden="1">
      <c r="A464" s="272"/>
      <c r="B464" s="356"/>
      <c r="C464" s="286" t="str">
        <f>G464&amp;F456</f>
        <v>❤️️...</v>
      </c>
      <c r="D464" s="357"/>
      <c r="E464" s="358"/>
      <c r="F464" s="359"/>
      <c r="G464" s="351" t="s">
        <v>194</v>
      </c>
      <c r="H464" s="309" t="str">
        <f>sumif(L467:L480,"complete",K467:K480)-vlookup(F456,ADDSTORE!$M$3:$O$38,3,false)</f>
        <v>#N/A</v>
      </c>
      <c r="J464" s="360"/>
      <c r="K464" s="360"/>
      <c r="N464" s="348"/>
      <c r="O464" s="272"/>
    </row>
    <row r="465" hidden="1">
      <c r="A465" s="272"/>
      <c r="B465" s="317"/>
      <c r="C465" s="318"/>
      <c r="D465" s="361"/>
      <c r="E465" s="318"/>
      <c r="F465" s="362"/>
      <c r="G465" s="318"/>
      <c r="H465" s="318"/>
      <c r="I465" s="318"/>
      <c r="J465" s="318"/>
      <c r="K465" s="318"/>
      <c r="L465" s="363"/>
      <c r="M465" s="363"/>
      <c r="N465" s="348"/>
      <c r="O465" s="272"/>
    </row>
    <row r="466" hidden="1">
      <c r="A466" s="279"/>
      <c r="B466" s="317"/>
      <c r="C466" s="318"/>
      <c r="D466" s="319" t="s">
        <v>195</v>
      </c>
      <c r="E466" s="320"/>
      <c r="F466" s="320"/>
      <c r="G466" s="320"/>
      <c r="H466" s="320"/>
      <c r="I466" s="321" t="s">
        <v>196</v>
      </c>
      <c r="J466" s="322" t="s">
        <v>197</v>
      </c>
      <c r="K466" s="323" t="s">
        <v>198</v>
      </c>
      <c r="L466" s="322" t="s">
        <v>199</v>
      </c>
      <c r="N466" s="348"/>
      <c r="O466" s="279"/>
    </row>
    <row r="467" hidden="1">
      <c r="A467" s="279"/>
      <c r="B467" s="325" t="str">
        <f t="shared" ref="B467:B480" si="21">if(L467="complete","🏅",if(L467="fail","💢",))</f>
        <v/>
      </c>
      <c r="C467" s="180" t="str">
        <f>L467&amp;F456&amp;D467</f>
        <v>...1</v>
      </c>
      <c r="D467" s="326">
        <v>1.0</v>
      </c>
      <c r="E467" s="327"/>
      <c r="F467" s="328"/>
      <c r="G467" s="328"/>
      <c r="H467" s="328"/>
      <c r="I467" s="329"/>
      <c r="J467" s="330"/>
      <c r="K467" s="365"/>
      <c r="L467" s="364"/>
      <c r="N467" s="348"/>
      <c r="O467" s="279"/>
    </row>
    <row r="468" hidden="1">
      <c r="A468" s="277"/>
      <c r="B468" s="325" t="str">
        <f t="shared" si="21"/>
        <v/>
      </c>
      <c r="C468" s="180" t="str">
        <f>L468&amp;F456&amp;D468</f>
        <v>...2</v>
      </c>
      <c r="D468" s="326">
        <v>2.0</v>
      </c>
      <c r="E468" s="327"/>
      <c r="F468" s="328"/>
      <c r="G468" s="328"/>
      <c r="H468" s="328"/>
      <c r="I468" s="329"/>
      <c r="J468" s="330"/>
      <c r="K468" s="366"/>
      <c r="L468" s="364"/>
      <c r="N468" s="348"/>
      <c r="O468" s="277"/>
    </row>
    <row r="469" hidden="1">
      <c r="A469" s="277"/>
      <c r="B469" s="325" t="str">
        <f t="shared" si="21"/>
        <v/>
      </c>
      <c r="C469" s="180" t="str">
        <f>L469&amp;F456&amp;D469</f>
        <v>...3</v>
      </c>
      <c r="D469" s="326">
        <v>3.0</v>
      </c>
      <c r="E469" s="327"/>
      <c r="F469" s="328"/>
      <c r="G469" s="328"/>
      <c r="H469" s="328"/>
      <c r="I469" s="329"/>
      <c r="J469" s="330"/>
      <c r="K469" s="366"/>
      <c r="L469" s="364"/>
      <c r="N469" s="348"/>
      <c r="O469" s="277"/>
    </row>
    <row r="470" hidden="1">
      <c r="A470" s="278"/>
      <c r="B470" s="325" t="str">
        <f t="shared" si="21"/>
        <v/>
      </c>
      <c r="C470" s="180" t="str">
        <f>L470&amp;F456&amp;D470</f>
        <v>...4</v>
      </c>
      <c r="D470" s="326">
        <v>4.0</v>
      </c>
      <c r="E470" s="327"/>
      <c r="F470" s="328"/>
      <c r="G470" s="328"/>
      <c r="H470" s="328"/>
      <c r="I470" s="329"/>
      <c r="J470" s="330"/>
      <c r="K470" s="365"/>
      <c r="L470" s="364"/>
      <c r="N470" s="348"/>
      <c r="O470" s="278"/>
    </row>
    <row r="471" hidden="1">
      <c r="A471" s="278"/>
      <c r="B471" s="325" t="str">
        <f t="shared" si="21"/>
        <v/>
      </c>
      <c r="C471" s="180" t="str">
        <f>L471&amp;F456&amp;D471</f>
        <v>...5</v>
      </c>
      <c r="D471" s="326">
        <v>5.0</v>
      </c>
      <c r="E471" s="327"/>
      <c r="F471" s="328"/>
      <c r="G471" s="328"/>
      <c r="H471" s="328"/>
      <c r="I471" s="329"/>
      <c r="J471" s="330"/>
      <c r="K471" s="366"/>
      <c r="L471" s="330"/>
      <c r="N471" s="348"/>
      <c r="O471" s="278"/>
    </row>
    <row r="472" hidden="1">
      <c r="A472" s="279"/>
      <c r="B472" s="325" t="str">
        <f t="shared" si="21"/>
        <v/>
      </c>
      <c r="C472" s="180" t="str">
        <f>L472&amp;F456&amp;D472</f>
        <v>...6</v>
      </c>
      <c r="D472" s="326">
        <v>6.0</v>
      </c>
      <c r="E472" s="327"/>
      <c r="F472" s="328"/>
      <c r="G472" s="328"/>
      <c r="H472" s="328"/>
      <c r="I472" s="329"/>
      <c r="J472" s="330"/>
      <c r="K472" s="366"/>
      <c r="L472" s="330"/>
      <c r="N472" s="348"/>
      <c r="O472" s="279"/>
    </row>
    <row r="473" hidden="1">
      <c r="A473" s="279"/>
      <c r="B473" s="325" t="str">
        <f t="shared" si="21"/>
        <v/>
      </c>
      <c r="C473" s="180" t="str">
        <f>L473&amp;F456&amp;D473</f>
        <v>...7</v>
      </c>
      <c r="D473" s="326">
        <v>7.0</v>
      </c>
      <c r="E473" s="327"/>
      <c r="F473" s="328"/>
      <c r="G473" s="328"/>
      <c r="H473" s="328"/>
      <c r="I473" s="329"/>
      <c r="J473" s="330"/>
      <c r="K473" s="366"/>
      <c r="L473" s="330"/>
      <c r="N473" s="348"/>
      <c r="O473" s="279"/>
    </row>
    <row r="474" hidden="1">
      <c r="A474" s="274"/>
      <c r="B474" s="325" t="str">
        <f t="shared" si="21"/>
        <v/>
      </c>
      <c r="C474" s="180" t="str">
        <f>L474&amp;F456&amp;D474</f>
        <v>...8</v>
      </c>
      <c r="D474" s="326">
        <v>8.0</v>
      </c>
      <c r="E474" s="327"/>
      <c r="F474" s="328"/>
      <c r="G474" s="328"/>
      <c r="H474" s="328"/>
      <c r="I474" s="329"/>
      <c r="J474" s="330"/>
      <c r="K474" s="366"/>
      <c r="L474" s="330"/>
      <c r="N474" s="348"/>
      <c r="O474" s="274"/>
    </row>
    <row r="475" hidden="1">
      <c r="A475" s="274"/>
      <c r="B475" s="325" t="str">
        <f t="shared" si="21"/>
        <v/>
      </c>
      <c r="C475" s="180" t="str">
        <f>L475&amp;F456&amp;D475</f>
        <v>...9</v>
      </c>
      <c r="D475" s="326">
        <v>9.0</v>
      </c>
      <c r="E475" s="327"/>
      <c r="F475" s="328"/>
      <c r="G475" s="328"/>
      <c r="H475" s="328"/>
      <c r="I475" s="329"/>
      <c r="J475" s="330"/>
      <c r="K475" s="366"/>
      <c r="L475" s="330"/>
      <c r="N475" s="348"/>
      <c r="O475" s="274"/>
    </row>
    <row r="476" hidden="1">
      <c r="A476" s="272"/>
      <c r="B476" s="325" t="str">
        <f t="shared" si="21"/>
        <v/>
      </c>
      <c r="C476" s="180" t="str">
        <f>L476&amp;F456&amp;D476</f>
        <v>...10</v>
      </c>
      <c r="D476" s="326">
        <v>10.0</v>
      </c>
      <c r="E476" s="327"/>
      <c r="F476" s="328"/>
      <c r="G476" s="328"/>
      <c r="H476" s="328"/>
      <c r="I476" s="329"/>
      <c r="J476" s="330"/>
      <c r="K476" s="366"/>
      <c r="L476" s="330"/>
      <c r="N476" s="348"/>
      <c r="O476" s="272"/>
    </row>
    <row r="477" hidden="1">
      <c r="A477" s="272"/>
      <c r="B477" s="325" t="str">
        <f t="shared" si="21"/>
        <v/>
      </c>
      <c r="C477" s="180" t="str">
        <f>L477&amp;F456&amp;D477</f>
        <v>...11</v>
      </c>
      <c r="D477" s="326">
        <v>11.0</v>
      </c>
      <c r="E477" s="327"/>
      <c r="F477" s="328"/>
      <c r="G477" s="328"/>
      <c r="H477" s="328"/>
      <c r="I477" s="329"/>
      <c r="J477" s="330"/>
      <c r="K477" s="366"/>
      <c r="L477" s="330"/>
      <c r="N477" s="348"/>
      <c r="O477" s="272"/>
    </row>
    <row r="478" hidden="1">
      <c r="A478" s="279"/>
      <c r="B478" s="325" t="str">
        <f t="shared" si="21"/>
        <v/>
      </c>
      <c r="C478" s="180" t="str">
        <f>L478&amp;F456&amp;D478</f>
        <v>...12</v>
      </c>
      <c r="D478" s="326">
        <v>12.0</v>
      </c>
      <c r="E478" s="327"/>
      <c r="F478" s="328"/>
      <c r="G478" s="328"/>
      <c r="H478" s="328"/>
      <c r="I478" s="329"/>
      <c r="J478" s="330"/>
      <c r="K478" s="366"/>
      <c r="L478" s="330"/>
      <c r="N478" s="348"/>
      <c r="O478" s="279"/>
    </row>
    <row r="479" hidden="1">
      <c r="A479" s="279"/>
      <c r="B479" s="325" t="str">
        <f t="shared" si="21"/>
        <v/>
      </c>
      <c r="C479" s="180" t="str">
        <f>L479&amp;F456&amp;D479</f>
        <v>...13</v>
      </c>
      <c r="D479" s="326">
        <v>13.0</v>
      </c>
      <c r="E479" s="327"/>
      <c r="F479" s="328"/>
      <c r="G479" s="328"/>
      <c r="H479" s="328"/>
      <c r="I479" s="329"/>
      <c r="J479" s="330"/>
      <c r="K479" s="366"/>
      <c r="L479" s="330"/>
      <c r="N479" s="348"/>
      <c r="O479" s="279"/>
    </row>
    <row r="480" hidden="1">
      <c r="A480" s="277"/>
      <c r="B480" s="325" t="str">
        <f t="shared" si="21"/>
        <v/>
      </c>
      <c r="C480" s="180" t="str">
        <f>L480&amp;F456&amp;D480</f>
        <v>...14</v>
      </c>
      <c r="D480" s="326">
        <v>14.0</v>
      </c>
      <c r="E480" s="327"/>
      <c r="F480" s="328"/>
      <c r="G480" s="328"/>
      <c r="H480" s="328"/>
      <c r="I480" s="329"/>
      <c r="J480" s="330"/>
      <c r="K480" s="366"/>
      <c r="L480" s="330"/>
      <c r="N480" s="348"/>
      <c r="O480" s="277"/>
    </row>
    <row r="481" hidden="1">
      <c r="A481" s="277"/>
      <c r="B481" s="367"/>
      <c r="C481" s="368"/>
      <c r="D481" s="369"/>
      <c r="E481" s="368"/>
      <c r="F481" s="370"/>
      <c r="G481" s="368"/>
      <c r="H481" s="368"/>
      <c r="I481" s="368"/>
      <c r="J481" s="368"/>
      <c r="K481" s="368"/>
      <c r="L481" s="368"/>
      <c r="M481" s="368"/>
      <c r="N481" s="371"/>
      <c r="O481" s="277"/>
    </row>
    <row r="482" hidden="1">
      <c r="A482" s="278"/>
      <c r="B482" s="389"/>
      <c r="C482" s="278"/>
      <c r="D482" s="389"/>
      <c r="E482" s="278"/>
      <c r="F482" s="390"/>
      <c r="G482" s="278"/>
      <c r="H482" s="278"/>
      <c r="I482" s="278"/>
      <c r="J482" s="278"/>
      <c r="K482" s="278"/>
      <c r="L482" s="278"/>
      <c r="M482" s="278"/>
      <c r="N482" s="278"/>
      <c r="O482" s="278"/>
    </row>
    <row r="483">
      <c r="A483" s="391"/>
      <c r="B483" s="392"/>
      <c r="C483" s="392"/>
      <c r="D483" s="392"/>
      <c r="E483" s="392"/>
      <c r="F483" s="392"/>
      <c r="G483" s="392" t="s">
        <v>77</v>
      </c>
      <c r="H483" s="392"/>
      <c r="I483" s="392"/>
      <c r="J483" s="392"/>
      <c r="K483" s="392"/>
      <c r="L483" s="392"/>
      <c r="M483" s="392"/>
      <c r="N483" s="392"/>
      <c r="O483" s="391"/>
    </row>
    <row r="484" ht="9.0" customHeight="1">
      <c r="A484" s="391"/>
      <c r="B484" s="393"/>
      <c r="D484" s="394"/>
      <c r="E484" s="395"/>
      <c r="F484" s="396"/>
      <c r="G484" s="397"/>
      <c r="H484" s="391"/>
      <c r="I484" s="391"/>
      <c r="J484" s="397"/>
      <c r="K484" s="398"/>
      <c r="L484" s="395"/>
      <c r="M484" s="399"/>
      <c r="N484" s="393"/>
      <c r="O484" s="391"/>
    </row>
    <row r="485">
      <c r="A485" s="399"/>
      <c r="B485" s="341"/>
      <c r="C485" s="342"/>
      <c r="D485" s="343"/>
      <c r="E485" s="342"/>
      <c r="F485" s="344"/>
      <c r="G485" s="342"/>
      <c r="H485" s="342"/>
      <c r="I485" s="342"/>
      <c r="J485" s="342"/>
      <c r="K485" s="342"/>
      <c r="L485" s="342"/>
      <c r="M485" s="342"/>
      <c r="N485" s="345"/>
      <c r="O485" s="399"/>
    </row>
    <row r="486">
      <c r="A486" s="399"/>
      <c r="B486" s="346">
        <v>1.0</v>
      </c>
      <c r="D486" s="287" t="s">
        <v>171</v>
      </c>
      <c r="E486" s="347" t="s">
        <v>172</v>
      </c>
      <c r="F486" s="289" t="s">
        <v>85</v>
      </c>
      <c r="G486" s="290"/>
      <c r="J486" s="291"/>
      <c r="N486" s="348"/>
      <c r="O486" s="399"/>
    </row>
    <row r="487">
      <c r="A487" s="395"/>
      <c r="B487" s="346">
        <v>1.0</v>
      </c>
      <c r="C487" s="202" t="str">
        <f>E487&amp;F487</f>
        <v>Nick Name:Thuyet.Site</v>
      </c>
      <c r="D487" s="349" t="s">
        <v>173</v>
      </c>
      <c r="E487" s="347" t="s">
        <v>174</v>
      </c>
      <c r="F487" s="289" t="s">
        <v>17</v>
      </c>
      <c r="J487" s="291" t="s">
        <v>175</v>
      </c>
      <c r="L487" s="298" t="s">
        <v>243</v>
      </c>
      <c r="N487" s="348"/>
      <c r="O487" s="395"/>
    </row>
    <row r="488">
      <c r="A488" s="395"/>
      <c r="B488" s="346">
        <v>1.0</v>
      </c>
      <c r="C488" s="202" t="str">
        <f>E488&amp;F487</f>
        <v>Full Name:Thuyet.Site</v>
      </c>
      <c r="D488" s="349" t="s">
        <v>177</v>
      </c>
      <c r="E488" s="347" t="s">
        <v>178</v>
      </c>
      <c r="F488" s="289" t="s">
        <v>151</v>
      </c>
      <c r="J488" s="291" t="s">
        <v>179</v>
      </c>
      <c r="L488" s="298" t="s">
        <v>244</v>
      </c>
      <c r="N488" s="348"/>
      <c r="O488" s="395"/>
    </row>
    <row r="489">
      <c r="A489" s="395"/>
      <c r="B489" s="346">
        <v>1.0</v>
      </c>
      <c r="C489" s="202" t="str">
        <f>E489&amp;F487</f>
        <v>Position:Thuyet.Site</v>
      </c>
      <c r="D489" s="349" t="s">
        <v>181</v>
      </c>
      <c r="E489" s="347" t="s">
        <v>182</v>
      </c>
      <c r="F489" s="289" t="s">
        <v>245</v>
      </c>
      <c r="J489" s="291" t="s">
        <v>184</v>
      </c>
      <c r="L489" s="298" t="s">
        <v>200</v>
      </c>
      <c r="N489" s="348"/>
      <c r="O489" s="395"/>
    </row>
    <row r="490">
      <c r="A490" s="398"/>
      <c r="B490" s="346">
        <v>1.0</v>
      </c>
      <c r="C490" s="202" t="str">
        <f>E490&amp;F487</f>
        <v>Birth:Thuyet.Site</v>
      </c>
      <c r="D490" s="349" t="s">
        <v>185</v>
      </c>
      <c r="E490" s="347" t="s">
        <v>186</v>
      </c>
      <c r="F490" s="289" t="s">
        <v>246</v>
      </c>
      <c r="J490" s="351"/>
      <c r="K490" s="352"/>
      <c r="L490" s="352"/>
      <c r="M490" s="352"/>
      <c r="N490" s="348"/>
      <c r="O490" s="398"/>
    </row>
    <row r="491">
      <c r="A491" s="398"/>
      <c r="B491" s="346">
        <v>1.0</v>
      </c>
      <c r="C491" s="202" t="str">
        <f>E491&amp;F487</f>
        <v>Experience:Thuyet.Site</v>
      </c>
      <c r="D491" s="349" t="s">
        <v>188</v>
      </c>
      <c r="E491" s="347" t="s">
        <v>189</v>
      </c>
      <c r="F491" s="289" t="s">
        <v>247</v>
      </c>
      <c r="J491" s="318"/>
      <c r="K491" s="352"/>
      <c r="L491" s="352"/>
      <c r="M491" s="352"/>
      <c r="N491" s="348"/>
      <c r="O491" s="398"/>
    </row>
    <row r="492">
      <c r="A492" s="398"/>
      <c r="B492" s="346"/>
      <c r="C492" s="374" t="str">
        <f>E492&amp;F487</f>
        <v>Quote:Thuyet.Site</v>
      </c>
      <c r="D492" s="353" t="s">
        <v>191</v>
      </c>
      <c r="E492" s="354" t="s">
        <v>192</v>
      </c>
      <c r="F492" s="308" t="s">
        <v>248</v>
      </c>
      <c r="J492" s="318"/>
      <c r="K492" s="352"/>
      <c r="L492" s="352"/>
      <c r="M492" s="352"/>
      <c r="N492" s="348"/>
      <c r="O492" s="398"/>
    </row>
    <row r="493">
      <c r="A493" s="397"/>
      <c r="B493" s="346"/>
      <c r="J493" s="318"/>
      <c r="K493" s="352"/>
      <c r="L493" s="352"/>
      <c r="N493" s="348"/>
      <c r="O493" s="397"/>
    </row>
    <row r="494">
      <c r="A494" s="397"/>
      <c r="B494" s="356"/>
      <c r="G494" s="300" t="str">
        <f>If(H494&gt;=0,"🔴","💣")</f>
        <v>🔴</v>
      </c>
      <c r="H494" s="309">
        <f>if(F487="...",0,vlookup(F487,Summary!$E:$V,18,false))</f>
        <v>0</v>
      </c>
      <c r="J494" s="318"/>
      <c r="N494" s="348"/>
      <c r="O494" s="397"/>
    </row>
    <row r="495">
      <c r="A495" s="397"/>
      <c r="B495" s="356"/>
      <c r="C495" s="286" t="str">
        <f>G495&amp;F487</f>
        <v>❤️️Thuyet.Site</v>
      </c>
      <c r="D495" s="357"/>
      <c r="E495" s="358"/>
      <c r="F495" s="359"/>
      <c r="G495" s="351" t="s">
        <v>194</v>
      </c>
      <c r="H495" s="309">
        <f>sumif(L498:L511,"complete",K498:K511)-vlookup(F487,ADDSTORE!$M$3:$O$38,3,false)</f>
        <v>0</v>
      </c>
      <c r="J495" s="360"/>
      <c r="K495" s="360"/>
      <c r="N495" s="348"/>
      <c r="O495" s="397"/>
    </row>
    <row r="496">
      <c r="A496" s="391"/>
      <c r="B496" s="317"/>
      <c r="C496" s="318"/>
      <c r="D496" s="361"/>
      <c r="E496" s="318"/>
      <c r="F496" s="362"/>
      <c r="G496" s="318"/>
      <c r="H496" s="318"/>
      <c r="I496" s="318"/>
      <c r="J496" s="318"/>
      <c r="K496" s="318"/>
      <c r="L496" s="363"/>
      <c r="M496" s="363"/>
      <c r="N496" s="348"/>
      <c r="O496" s="391"/>
    </row>
    <row r="497">
      <c r="A497" s="391"/>
      <c r="B497" s="317"/>
      <c r="C497" s="318"/>
      <c r="D497" s="319" t="s">
        <v>195</v>
      </c>
      <c r="E497" s="320"/>
      <c r="F497" s="320"/>
      <c r="G497" s="320"/>
      <c r="H497" s="320"/>
      <c r="I497" s="321" t="s">
        <v>196</v>
      </c>
      <c r="J497" s="322" t="s">
        <v>197</v>
      </c>
      <c r="K497" s="323" t="s">
        <v>198</v>
      </c>
      <c r="L497" s="322" t="s">
        <v>199</v>
      </c>
      <c r="N497" s="348"/>
      <c r="O497" s="391"/>
    </row>
    <row r="498">
      <c r="A498" s="391"/>
      <c r="B498" s="325" t="str">
        <f t="shared" ref="B498:B511" si="22">if(L498="complete","🏅",if(L498="fail","💢",))</f>
        <v/>
      </c>
      <c r="C498" s="180" t="str">
        <f>L498&amp;F487&amp;D498</f>
        <v>Thuyet.Site1</v>
      </c>
      <c r="D498" s="326">
        <v>1.0</v>
      </c>
      <c r="E498" s="327"/>
      <c r="F498" s="328"/>
      <c r="G498" s="328"/>
      <c r="H498" s="328"/>
      <c r="I498" s="329"/>
      <c r="J498" s="330"/>
      <c r="K498" s="365"/>
      <c r="L498" s="364"/>
      <c r="N498" s="348"/>
      <c r="O498" s="391"/>
    </row>
    <row r="499">
      <c r="A499" s="399"/>
      <c r="B499" s="325" t="str">
        <f t="shared" si="22"/>
        <v/>
      </c>
      <c r="C499" s="180" t="str">
        <f>L499&amp;F487&amp;D499</f>
        <v>Thuyet.Site2</v>
      </c>
      <c r="D499" s="326">
        <v>2.0</v>
      </c>
      <c r="E499" s="327"/>
      <c r="F499" s="328"/>
      <c r="G499" s="328"/>
      <c r="H499" s="328"/>
      <c r="I499" s="329"/>
      <c r="J499" s="330"/>
      <c r="K499" s="366"/>
      <c r="L499" s="364"/>
      <c r="N499" s="348"/>
      <c r="O499" s="399"/>
    </row>
    <row r="500">
      <c r="A500" s="399"/>
      <c r="B500" s="325" t="str">
        <f t="shared" si="22"/>
        <v/>
      </c>
      <c r="C500" s="180" t="str">
        <f>L500&amp;F487&amp;D500</f>
        <v>Thuyet.Site3</v>
      </c>
      <c r="D500" s="326">
        <v>3.0</v>
      </c>
      <c r="E500" s="327"/>
      <c r="F500" s="328"/>
      <c r="G500" s="328"/>
      <c r="H500" s="328"/>
      <c r="I500" s="329"/>
      <c r="J500" s="330"/>
      <c r="K500" s="366"/>
      <c r="L500" s="364"/>
      <c r="N500" s="348"/>
      <c r="O500" s="399"/>
    </row>
    <row r="501">
      <c r="A501" s="395"/>
      <c r="B501" s="325" t="str">
        <f t="shared" si="22"/>
        <v/>
      </c>
      <c r="C501" s="180" t="str">
        <f>L501&amp;F487&amp;D501</f>
        <v>Thuyet.Site4</v>
      </c>
      <c r="D501" s="326">
        <v>4.0</v>
      </c>
      <c r="E501" s="327"/>
      <c r="F501" s="328"/>
      <c r="G501" s="328"/>
      <c r="H501" s="328"/>
      <c r="I501" s="329"/>
      <c r="J501" s="330"/>
      <c r="K501" s="365"/>
      <c r="L501" s="364"/>
      <c r="N501" s="348"/>
      <c r="O501" s="395"/>
    </row>
    <row r="502">
      <c r="A502" s="395"/>
      <c r="B502" s="325" t="str">
        <f t="shared" si="22"/>
        <v/>
      </c>
      <c r="C502" s="180" t="str">
        <f>L502&amp;F487&amp;D502</f>
        <v>Thuyet.Site5</v>
      </c>
      <c r="D502" s="326">
        <v>5.0</v>
      </c>
      <c r="E502" s="327"/>
      <c r="F502" s="328"/>
      <c r="G502" s="328"/>
      <c r="H502" s="328"/>
      <c r="I502" s="329"/>
      <c r="J502" s="330"/>
      <c r="K502" s="366"/>
      <c r="L502" s="330"/>
      <c r="N502" s="348"/>
      <c r="O502" s="395"/>
    </row>
    <row r="503">
      <c r="A503" s="395"/>
      <c r="B503" s="325" t="str">
        <f t="shared" si="22"/>
        <v/>
      </c>
      <c r="C503" s="180" t="str">
        <f>L503&amp;F487&amp;D503</f>
        <v>Thuyet.Site6</v>
      </c>
      <c r="D503" s="326">
        <v>6.0</v>
      </c>
      <c r="E503" s="327"/>
      <c r="F503" s="328"/>
      <c r="G503" s="328"/>
      <c r="H503" s="328"/>
      <c r="I503" s="329"/>
      <c r="J503" s="330"/>
      <c r="K503" s="366"/>
      <c r="L503" s="330"/>
      <c r="N503" s="348"/>
      <c r="O503" s="395"/>
    </row>
    <row r="504">
      <c r="A504" s="398"/>
      <c r="B504" s="325" t="str">
        <f t="shared" si="22"/>
        <v/>
      </c>
      <c r="C504" s="180" t="str">
        <f>L504&amp;F487&amp;D504</f>
        <v>Thuyet.Site7</v>
      </c>
      <c r="D504" s="326">
        <v>7.0</v>
      </c>
      <c r="E504" s="327"/>
      <c r="F504" s="328"/>
      <c r="G504" s="328"/>
      <c r="H504" s="328"/>
      <c r="I504" s="329"/>
      <c r="J504" s="330"/>
      <c r="K504" s="366"/>
      <c r="L504" s="330"/>
      <c r="N504" s="348"/>
      <c r="O504" s="398"/>
    </row>
    <row r="505">
      <c r="A505" s="398"/>
      <c r="B505" s="325" t="str">
        <f t="shared" si="22"/>
        <v/>
      </c>
      <c r="C505" s="180" t="str">
        <f>L505&amp;F487&amp;D505</f>
        <v>Thuyet.Site8</v>
      </c>
      <c r="D505" s="326">
        <v>8.0</v>
      </c>
      <c r="E505" s="327"/>
      <c r="F505" s="328"/>
      <c r="G505" s="328"/>
      <c r="H505" s="328"/>
      <c r="I505" s="329"/>
      <c r="J505" s="330"/>
      <c r="K505" s="366"/>
      <c r="L505" s="330"/>
      <c r="N505" s="348"/>
      <c r="O505" s="398"/>
    </row>
    <row r="506">
      <c r="A506" s="398"/>
      <c r="B506" s="325" t="str">
        <f t="shared" si="22"/>
        <v/>
      </c>
      <c r="C506" s="180" t="str">
        <f>L506&amp;F487&amp;D506</f>
        <v>Thuyet.Site9</v>
      </c>
      <c r="D506" s="326">
        <v>9.0</v>
      </c>
      <c r="E506" s="327"/>
      <c r="F506" s="328"/>
      <c r="G506" s="328"/>
      <c r="H506" s="328"/>
      <c r="I506" s="329"/>
      <c r="J506" s="330"/>
      <c r="K506" s="366"/>
      <c r="L506" s="330"/>
      <c r="N506" s="348"/>
      <c r="O506" s="398"/>
    </row>
    <row r="507">
      <c r="A507" s="397"/>
      <c r="B507" s="325" t="str">
        <f t="shared" si="22"/>
        <v/>
      </c>
      <c r="C507" s="180" t="str">
        <f>L507&amp;F487&amp;D507</f>
        <v>Thuyet.Site10</v>
      </c>
      <c r="D507" s="326">
        <v>10.0</v>
      </c>
      <c r="E507" s="327"/>
      <c r="F507" s="328"/>
      <c r="G507" s="328"/>
      <c r="H507" s="328"/>
      <c r="I507" s="329"/>
      <c r="J507" s="330"/>
      <c r="K507" s="366"/>
      <c r="L507" s="330"/>
      <c r="N507" s="348"/>
      <c r="O507" s="397"/>
    </row>
    <row r="508">
      <c r="A508" s="397"/>
      <c r="B508" s="325" t="str">
        <f t="shared" si="22"/>
        <v/>
      </c>
      <c r="C508" s="180" t="str">
        <f>L508&amp;F487&amp;D508</f>
        <v>Thuyet.Site11</v>
      </c>
      <c r="D508" s="326">
        <v>11.0</v>
      </c>
      <c r="E508" s="327"/>
      <c r="F508" s="328"/>
      <c r="G508" s="328"/>
      <c r="H508" s="328"/>
      <c r="I508" s="329"/>
      <c r="J508" s="330"/>
      <c r="K508" s="366"/>
      <c r="L508" s="330"/>
      <c r="N508" s="348"/>
      <c r="O508" s="397"/>
    </row>
    <row r="509">
      <c r="A509" s="397"/>
      <c r="B509" s="325" t="str">
        <f t="shared" si="22"/>
        <v/>
      </c>
      <c r="C509" s="180" t="str">
        <f>L509&amp;F487&amp;D509</f>
        <v>Thuyet.Site12</v>
      </c>
      <c r="D509" s="326">
        <v>12.0</v>
      </c>
      <c r="E509" s="327"/>
      <c r="F509" s="328"/>
      <c r="G509" s="328"/>
      <c r="H509" s="328"/>
      <c r="I509" s="329"/>
      <c r="J509" s="330"/>
      <c r="K509" s="366"/>
      <c r="L509" s="330"/>
      <c r="N509" s="348"/>
      <c r="O509" s="397"/>
    </row>
    <row r="510">
      <c r="A510" s="391"/>
      <c r="B510" s="325" t="str">
        <f t="shared" si="22"/>
        <v/>
      </c>
      <c r="C510" s="180" t="str">
        <f>L510&amp;F487&amp;D510</f>
        <v>Thuyet.Site13</v>
      </c>
      <c r="D510" s="326">
        <v>13.0</v>
      </c>
      <c r="E510" s="327"/>
      <c r="F510" s="328"/>
      <c r="G510" s="328"/>
      <c r="H510" s="328"/>
      <c r="I510" s="329"/>
      <c r="J510" s="330"/>
      <c r="K510" s="366"/>
      <c r="L510" s="330"/>
      <c r="N510" s="348"/>
      <c r="O510" s="391"/>
    </row>
    <row r="511">
      <c r="A511" s="391"/>
      <c r="B511" s="325" t="str">
        <f t="shared" si="22"/>
        <v/>
      </c>
      <c r="C511" s="180" t="str">
        <f>L511&amp;F487&amp;D511</f>
        <v>Thuyet.Site14</v>
      </c>
      <c r="D511" s="326">
        <v>14.0</v>
      </c>
      <c r="E511" s="327"/>
      <c r="F511" s="328"/>
      <c r="G511" s="328"/>
      <c r="H511" s="328"/>
      <c r="I511" s="329"/>
      <c r="J511" s="330"/>
      <c r="K511" s="366"/>
      <c r="L511" s="330"/>
      <c r="N511" s="348"/>
      <c r="O511" s="391"/>
    </row>
    <row r="512">
      <c r="A512" s="391"/>
      <c r="B512" s="367"/>
      <c r="C512" s="368"/>
      <c r="D512" s="369"/>
      <c r="E512" s="368"/>
      <c r="F512" s="370"/>
      <c r="G512" s="368"/>
      <c r="H512" s="368"/>
      <c r="I512" s="368"/>
      <c r="J512" s="368"/>
      <c r="K512" s="368"/>
      <c r="L512" s="368"/>
      <c r="M512" s="368"/>
      <c r="N512" s="371"/>
      <c r="O512" s="391"/>
    </row>
    <row r="513">
      <c r="A513" s="391"/>
      <c r="B513" s="339"/>
      <c r="D513" s="339"/>
      <c r="F513" s="340"/>
      <c r="O513" s="391"/>
    </row>
    <row r="514" ht="9.0" hidden="1" customHeight="1">
      <c r="A514" s="399"/>
      <c r="B514" s="393"/>
      <c r="D514" s="394"/>
      <c r="E514" s="395"/>
      <c r="F514" s="396"/>
      <c r="G514" s="397"/>
      <c r="H514" s="391"/>
      <c r="I514" s="391"/>
      <c r="J514" s="397"/>
      <c r="K514" s="398"/>
      <c r="L514" s="395"/>
      <c r="M514" s="399"/>
      <c r="N514" s="393"/>
      <c r="O514" s="399"/>
    </row>
    <row r="515" hidden="1">
      <c r="A515" s="399"/>
      <c r="B515" s="341"/>
      <c r="C515" s="342"/>
      <c r="D515" s="343"/>
      <c r="E515" s="342"/>
      <c r="F515" s="344"/>
      <c r="G515" s="342"/>
      <c r="H515" s="342"/>
      <c r="I515" s="342"/>
      <c r="J515" s="342"/>
      <c r="K515" s="342"/>
      <c r="L515" s="342"/>
      <c r="M515" s="342"/>
      <c r="N515" s="345"/>
      <c r="O515" s="399"/>
    </row>
    <row r="516" hidden="1">
      <c r="A516" s="395"/>
      <c r="B516" s="346">
        <v>1.0</v>
      </c>
      <c r="D516" s="287" t="s">
        <v>171</v>
      </c>
      <c r="E516" s="347" t="s">
        <v>172</v>
      </c>
      <c r="F516" s="289" t="s">
        <v>200</v>
      </c>
      <c r="G516" s="290"/>
      <c r="J516" s="291"/>
      <c r="N516" s="348"/>
      <c r="O516" s="395"/>
    </row>
    <row r="517" hidden="1">
      <c r="A517" s="395"/>
      <c r="B517" s="346">
        <v>1.0</v>
      </c>
      <c r="C517" s="202" t="str">
        <f>E517&amp;F517</f>
        <v>Nick Name:...</v>
      </c>
      <c r="D517" s="349" t="s">
        <v>173</v>
      </c>
      <c r="E517" s="347" t="s">
        <v>174</v>
      </c>
      <c r="F517" s="289" t="s">
        <v>200</v>
      </c>
      <c r="J517" s="291" t="s">
        <v>175</v>
      </c>
      <c r="L517" s="298" t="s">
        <v>200</v>
      </c>
      <c r="N517" s="348"/>
      <c r="O517" s="395"/>
    </row>
    <row r="518" hidden="1">
      <c r="A518" s="395"/>
      <c r="B518" s="346">
        <v>1.0</v>
      </c>
      <c r="C518" s="202" t="str">
        <f>E518&amp;F517</f>
        <v>Full Name:...</v>
      </c>
      <c r="D518" s="349" t="s">
        <v>177</v>
      </c>
      <c r="E518" s="347" t="s">
        <v>178</v>
      </c>
      <c r="F518" s="289" t="s">
        <v>200</v>
      </c>
      <c r="J518" s="291" t="s">
        <v>179</v>
      </c>
      <c r="L518" s="298" t="s">
        <v>200</v>
      </c>
      <c r="N518" s="348"/>
      <c r="O518" s="395"/>
    </row>
    <row r="519" hidden="1">
      <c r="A519" s="398"/>
      <c r="B519" s="346">
        <v>1.0</v>
      </c>
      <c r="C519" s="202" t="str">
        <f>E519&amp;F517</f>
        <v>Position:...</v>
      </c>
      <c r="D519" s="349" t="s">
        <v>181</v>
      </c>
      <c r="E519" s="347" t="s">
        <v>182</v>
      </c>
      <c r="F519" s="289" t="s">
        <v>200</v>
      </c>
      <c r="J519" s="291" t="s">
        <v>184</v>
      </c>
      <c r="L519" s="298" t="s">
        <v>200</v>
      </c>
      <c r="N519" s="348"/>
      <c r="O519" s="398"/>
    </row>
    <row r="520" hidden="1">
      <c r="A520" s="398"/>
      <c r="B520" s="346">
        <v>1.0</v>
      </c>
      <c r="C520" s="202" t="str">
        <f>E520&amp;F517</f>
        <v>Birth:...</v>
      </c>
      <c r="D520" s="349" t="s">
        <v>185</v>
      </c>
      <c r="E520" s="347" t="s">
        <v>186</v>
      </c>
      <c r="F520" s="289" t="s">
        <v>200</v>
      </c>
      <c r="J520" s="351"/>
      <c r="K520" s="352"/>
      <c r="L520" s="352"/>
      <c r="M520" s="352"/>
      <c r="N520" s="348"/>
      <c r="O520" s="398"/>
    </row>
    <row r="521" hidden="1">
      <c r="A521" s="398"/>
      <c r="B521" s="346">
        <v>1.0</v>
      </c>
      <c r="C521" s="202" t="str">
        <f>E521&amp;F517</f>
        <v>Experience:...</v>
      </c>
      <c r="D521" s="349" t="s">
        <v>188</v>
      </c>
      <c r="E521" s="347" t="s">
        <v>189</v>
      </c>
      <c r="F521" s="289" t="s">
        <v>200</v>
      </c>
      <c r="J521" s="318"/>
      <c r="K521" s="352"/>
      <c r="L521" s="352"/>
      <c r="M521" s="352"/>
      <c r="N521" s="348"/>
      <c r="O521" s="398"/>
    </row>
    <row r="522" hidden="1">
      <c r="A522" s="397"/>
      <c r="B522" s="346"/>
      <c r="C522" s="374" t="str">
        <f>E522&amp;F517</f>
        <v>Quote:...</v>
      </c>
      <c r="D522" s="353" t="s">
        <v>191</v>
      </c>
      <c r="E522" s="354" t="s">
        <v>192</v>
      </c>
      <c r="F522" s="289"/>
      <c r="J522" s="318"/>
      <c r="K522" s="352"/>
      <c r="L522" s="352"/>
      <c r="M522" s="352"/>
      <c r="N522" s="348"/>
      <c r="O522" s="397"/>
    </row>
    <row r="523" hidden="1">
      <c r="A523" s="397"/>
      <c r="B523" s="346"/>
      <c r="J523" s="318"/>
      <c r="K523" s="352"/>
      <c r="L523" s="352"/>
      <c r="N523" s="348"/>
      <c r="O523" s="397"/>
    </row>
    <row r="524" hidden="1">
      <c r="A524" s="397"/>
      <c r="B524" s="356"/>
      <c r="G524" s="300" t="str">
        <f>If(H524&gt;=0,"🔴","💣")</f>
        <v>🔴</v>
      </c>
      <c r="H524" s="309">
        <f>if(F517="...",0,vlookup(F517,Summary!$E:$V,18,false))</f>
        <v>0</v>
      </c>
      <c r="J524" s="318"/>
      <c r="N524" s="348"/>
      <c r="O524" s="397"/>
    </row>
    <row r="525" hidden="1">
      <c r="A525" s="391"/>
      <c r="B525" s="356"/>
      <c r="C525" s="286" t="str">
        <f>G525&amp;F517</f>
        <v>❤️️...</v>
      </c>
      <c r="D525" s="357"/>
      <c r="E525" s="358"/>
      <c r="F525" s="359"/>
      <c r="G525" s="351" t="s">
        <v>194</v>
      </c>
      <c r="H525" s="309" t="str">
        <f>sumif(L528:L541,"complete",K528:K541)-vlookup(F517,ADDSTORE!$M$3:$O$38,3,false)</f>
        <v>#N/A</v>
      </c>
      <c r="J525" s="360"/>
      <c r="K525" s="360"/>
      <c r="N525" s="348"/>
      <c r="O525" s="391"/>
    </row>
    <row r="526" hidden="1">
      <c r="A526" s="391"/>
      <c r="B526" s="317"/>
      <c r="C526" s="318"/>
      <c r="D526" s="361"/>
      <c r="E526" s="318"/>
      <c r="F526" s="362"/>
      <c r="G526" s="318"/>
      <c r="H526" s="318"/>
      <c r="I526" s="318"/>
      <c r="J526" s="318"/>
      <c r="K526" s="318"/>
      <c r="L526" s="363"/>
      <c r="M526" s="363"/>
      <c r="N526" s="348"/>
      <c r="O526" s="391"/>
    </row>
    <row r="527" hidden="1">
      <c r="A527" s="391"/>
      <c r="B527" s="317"/>
      <c r="C527" s="318"/>
      <c r="D527" s="319" t="s">
        <v>195</v>
      </c>
      <c r="E527" s="320"/>
      <c r="F527" s="320"/>
      <c r="G527" s="320"/>
      <c r="H527" s="320"/>
      <c r="I527" s="321" t="s">
        <v>196</v>
      </c>
      <c r="J527" s="322" t="s">
        <v>197</v>
      </c>
      <c r="K527" s="323" t="s">
        <v>198</v>
      </c>
      <c r="L527" s="322" t="s">
        <v>199</v>
      </c>
      <c r="N527" s="348"/>
      <c r="O527" s="391"/>
    </row>
    <row r="528" hidden="1">
      <c r="A528" s="399"/>
      <c r="B528" s="325" t="str">
        <f t="shared" ref="B528:B541" si="23">if(L528="complete","🏅",if(L528="fail","💢",))</f>
        <v/>
      </c>
      <c r="C528" s="180" t="str">
        <f>L528&amp;F517&amp;D528</f>
        <v>...1</v>
      </c>
      <c r="D528" s="326">
        <v>1.0</v>
      </c>
      <c r="E528" s="327"/>
      <c r="F528" s="328"/>
      <c r="G528" s="328"/>
      <c r="H528" s="328"/>
      <c r="I528" s="329"/>
      <c r="J528" s="330"/>
      <c r="K528" s="365"/>
      <c r="L528" s="364"/>
      <c r="N528" s="348"/>
      <c r="O528" s="399"/>
    </row>
    <row r="529" hidden="1">
      <c r="A529" s="399"/>
      <c r="B529" s="325" t="str">
        <f t="shared" si="23"/>
        <v/>
      </c>
      <c r="C529" s="180" t="str">
        <f>L529&amp;F517&amp;D529</f>
        <v>...2</v>
      </c>
      <c r="D529" s="326">
        <v>2.0</v>
      </c>
      <c r="E529" s="327"/>
      <c r="F529" s="328"/>
      <c r="G529" s="328"/>
      <c r="H529" s="328"/>
      <c r="I529" s="329"/>
      <c r="J529" s="330"/>
      <c r="K529" s="366"/>
      <c r="L529" s="364"/>
      <c r="N529" s="348"/>
      <c r="O529" s="399"/>
    </row>
    <row r="530" hidden="1">
      <c r="A530" s="395"/>
      <c r="B530" s="325" t="str">
        <f t="shared" si="23"/>
        <v/>
      </c>
      <c r="C530" s="180" t="str">
        <f>L530&amp;F517&amp;D530</f>
        <v>...3</v>
      </c>
      <c r="D530" s="326">
        <v>3.0</v>
      </c>
      <c r="E530" s="327"/>
      <c r="F530" s="328"/>
      <c r="G530" s="328"/>
      <c r="H530" s="328"/>
      <c r="I530" s="329"/>
      <c r="J530" s="330"/>
      <c r="K530" s="366"/>
      <c r="L530" s="364"/>
      <c r="N530" s="348"/>
      <c r="O530" s="395"/>
    </row>
    <row r="531" hidden="1">
      <c r="A531" s="395"/>
      <c r="B531" s="325" t="str">
        <f t="shared" si="23"/>
        <v/>
      </c>
      <c r="C531" s="180" t="str">
        <f>L531&amp;F517&amp;D531</f>
        <v>...4</v>
      </c>
      <c r="D531" s="326">
        <v>4.0</v>
      </c>
      <c r="E531" s="327"/>
      <c r="F531" s="328"/>
      <c r="G531" s="328"/>
      <c r="H531" s="328"/>
      <c r="I531" s="329"/>
      <c r="J531" s="330"/>
      <c r="K531" s="365"/>
      <c r="L531" s="364"/>
      <c r="N531" s="348"/>
      <c r="O531" s="395"/>
    </row>
    <row r="532" hidden="1">
      <c r="A532" s="395"/>
      <c r="B532" s="325" t="str">
        <f t="shared" si="23"/>
        <v/>
      </c>
      <c r="C532" s="180" t="str">
        <f>L532&amp;F517&amp;D532</f>
        <v>...5</v>
      </c>
      <c r="D532" s="326">
        <v>5.0</v>
      </c>
      <c r="E532" s="327"/>
      <c r="F532" s="328"/>
      <c r="G532" s="328"/>
      <c r="H532" s="328"/>
      <c r="I532" s="329"/>
      <c r="J532" s="330"/>
      <c r="K532" s="366"/>
      <c r="L532" s="330"/>
      <c r="N532" s="348"/>
      <c r="O532" s="395"/>
    </row>
    <row r="533" hidden="1">
      <c r="A533" s="398"/>
      <c r="B533" s="325" t="str">
        <f t="shared" si="23"/>
        <v/>
      </c>
      <c r="C533" s="180" t="str">
        <f>L533&amp;F517&amp;D533</f>
        <v>...6</v>
      </c>
      <c r="D533" s="326">
        <v>6.0</v>
      </c>
      <c r="E533" s="327"/>
      <c r="F533" s="328"/>
      <c r="G533" s="328"/>
      <c r="H533" s="328"/>
      <c r="I533" s="329"/>
      <c r="J533" s="330"/>
      <c r="K533" s="366"/>
      <c r="L533" s="330"/>
      <c r="N533" s="348"/>
      <c r="O533" s="398"/>
    </row>
    <row r="534" hidden="1">
      <c r="A534" s="398"/>
      <c r="B534" s="325" t="str">
        <f t="shared" si="23"/>
        <v/>
      </c>
      <c r="C534" s="180" t="str">
        <f>L534&amp;F517&amp;D534</f>
        <v>...7</v>
      </c>
      <c r="D534" s="326">
        <v>7.0</v>
      </c>
      <c r="E534" s="327"/>
      <c r="F534" s="328"/>
      <c r="G534" s="328"/>
      <c r="H534" s="328"/>
      <c r="I534" s="329"/>
      <c r="J534" s="330"/>
      <c r="K534" s="366"/>
      <c r="L534" s="330"/>
      <c r="N534" s="348"/>
      <c r="O534" s="398"/>
    </row>
    <row r="535" hidden="1">
      <c r="A535" s="398"/>
      <c r="B535" s="325" t="str">
        <f t="shared" si="23"/>
        <v/>
      </c>
      <c r="C535" s="180" t="str">
        <f>L535&amp;F517&amp;D535</f>
        <v>...8</v>
      </c>
      <c r="D535" s="326">
        <v>8.0</v>
      </c>
      <c r="E535" s="327"/>
      <c r="F535" s="328"/>
      <c r="G535" s="328"/>
      <c r="H535" s="328"/>
      <c r="I535" s="329"/>
      <c r="J535" s="330"/>
      <c r="K535" s="366"/>
      <c r="L535" s="330"/>
      <c r="N535" s="348"/>
      <c r="O535" s="398"/>
    </row>
    <row r="536" hidden="1">
      <c r="A536" s="397"/>
      <c r="B536" s="325" t="str">
        <f t="shared" si="23"/>
        <v/>
      </c>
      <c r="C536" s="180" t="str">
        <f>L536&amp;F517&amp;D536</f>
        <v>...9</v>
      </c>
      <c r="D536" s="326">
        <v>9.0</v>
      </c>
      <c r="E536" s="327"/>
      <c r="F536" s="328"/>
      <c r="G536" s="328"/>
      <c r="H536" s="328"/>
      <c r="I536" s="329"/>
      <c r="J536" s="330"/>
      <c r="K536" s="366"/>
      <c r="L536" s="330"/>
      <c r="N536" s="348"/>
      <c r="O536" s="397"/>
    </row>
    <row r="537" hidden="1">
      <c r="A537" s="397"/>
      <c r="B537" s="325" t="str">
        <f t="shared" si="23"/>
        <v/>
      </c>
      <c r="C537" s="180" t="str">
        <f>L537&amp;F517&amp;D537</f>
        <v>...10</v>
      </c>
      <c r="D537" s="326">
        <v>10.0</v>
      </c>
      <c r="E537" s="327"/>
      <c r="F537" s="328"/>
      <c r="G537" s="328"/>
      <c r="H537" s="328"/>
      <c r="I537" s="329"/>
      <c r="J537" s="330"/>
      <c r="K537" s="366"/>
      <c r="L537" s="330"/>
      <c r="N537" s="348"/>
      <c r="O537" s="397"/>
    </row>
    <row r="538" hidden="1">
      <c r="A538" s="397"/>
      <c r="B538" s="325" t="str">
        <f t="shared" si="23"/>
        <v/>
      </c>
      <c r="C538" s="180" t="str">
        <f>L538&amp;F517&amp;D538</f>
        <v>...11</v>
      </c>
      <c r="D538" s="326">
        <v>11.0</v>
      </c>
      <c r="E538" s="327"/>
      <c r="F538" s="328"/>
      <c r="G538" s="328"/>
      <c r="H538" s="328"/>
      <c r="I538" s="329"/>
      <c r="J538" s="330"/>
      <c r="K538" s="366"/>
      <c r="L538" s="330"/>
      <c r="N538" s="348"/>
      <c r="O538" s="397"/>
    </row>
    <row r="539" hidden="1">
      <c r="A539" s="391"/>
      <c r="B539" s="325" t="str">
        <f t="shared" si="23"/>
        <v/>
      </c>
      <c r="C539" s="180" t="str">
        <f>L539&amp;F517&amp;D539</f>
        <v>...12</v>
      </c>
      <c r="D539" s="326">
        <v>12.0</v>
      </c>
      <c r="E539" s="327"/>
      <c r="F539" s="328"/>
      <c r="G539" s="328"/>
      <c r="H539" s="328"/>
      <c r="I539" s="329"/>
      <c r="J539" s="330"/>
      <c r="K539" s="366"/>
      <c r="L539" s="330"/>
      <c r="N539" s="348"/>
      <c r="O539" s="391"/>
    </row>
    <row r="540" hidden="1">
      <c r="A540" s="391"/>
      <c r="B540" s="325" t="str">
        <f t="shared" si="23"/>
        <v/>
      </c>
      <c r="C540" s="180" t="str">
        <f>L540&amp;F517&amp;D540</f>
        <v>...13</v>
      </c>
      <c r="D540" s="326">
        <v>13.0</v>
      </c>
      <c r="E540" s="327"/>
      <c r="F540" s="328"/>
      <c r="G540" s="328"/>
      <c r="H540" s="328"/>
      <c r="I540" s="329"/>
      <c r="J540" s="330"/>
      <c r="K540" s="366"/>
      <c r="L540" s="330"/>
      <c r="N540" s="348"/>
      <c r="O540" s="391"/>
    </row>
    <row r="541" hidden="1">
      <c r="A541" s="391"/>
      <c r="B541" s="325" t="str">
        <f t="shared" si="23"/>
        <v/>
      </c>
      <c r="C541" s="180" t="str">
        <f>L541&amp;F517&amp;D541</f>
        <v>...14</v>
      </c>
      <c r="D541" s="326">
        <v>14.0</v>
      </c>
      <c r="E541" s="327"/>
      <c r="F541" s="328"/>
      <c r="G541" s="328"/>
      <c r="H541" s="328"/>
      <c r="I541" s="329"/>
      <c r="J541" s="330"/>
      <c r="K541" s="366"/>
      <c r="L541" s="330"/>
      <c r="N541" s="348"/>
      <c r="O541" s="391"/>
    </row>
    <row r="542" hidden="1">
      <c r="A542" s="391"/>
      <c r="B542" s="367"/>
      <c r="C542" s="368"/>
      <c r="D542" s="369"/>
      <c r="E542" s="368"/>
      <c r="F542" s="370"/>
      <c r="G542" s="368"/>
      <c r="H542" s="368"/>
      <c r="I542" s="368"/>
      <c r="J542" s="368"/>
      <c r="K542" s="368"/>
      <c r="L542" s="368"/>
      <c r="M542" s="368"/>
      <c r="N542" s="371"/>
      <c r="O542" s="391"/>
    </row>
    <row r="543" hidden="1">
      <c r="A543" s="391"/>
      <c r="B543" s="339"/>
      <c r="D543" s="339"/>
      <c r="F543" s="340"/>
      <c r="O543" s="391"/>
    </row>
    <row r="544" ht="9.0" hidden="1" customHeight="1">
      <c r="A544" s="399"/>
      <c r="B544" s="393"/>
      <c r="D544" s="394"/>
      <c r="E544" s="395"/>
      <c r="F544" s="396"/>
      <c r="G544" s="397"/>
      <c r="H544" s="391"/>
      <c r="I544" s="391"/>
      <c r="J544" s="397"/>
      <c r="K544" s="398"/>
      <c r="L544" s="395"/>
      <c r="M544" s="399"/>
      <c r="N544" s="393"/>
      <c r="O544" s="399"/>
    </row>
    <row r="545" hidden="1">
      <c r="A545" s="399"/>
      <c r="B545" s="341"/>
      <c r="C545" s="342"/>
      <c r="D545" s="343"/>
      <c r="E545" s="342"/>
      <c r="F545" s="344"/>
      <c r="G545" s="342"/>
      <c r="H545" s="342"/>
      <c r="I545" s="342"/>
      <c r="J545" s="342"/>
      <c r="K545" s="342"/>
      <c r="L545" s="342"/>
      <c r="M545" s="342"/>
      <c r="N545" s="345"/>
      <c r="O545" s="399"/>
    </row>
    <row r="546" hidden="1">
      <c r="A546" s="395"/>
      <c r="B546" s="346">
        <v>1.0</v>
      </c>
      <c r="D546" s="287" t="s">
        <v>171</v>
      </c>
      <c r="E546" s="347" t="s">
        <v>172</v>
      </c>
      <c r="F546" s="289" t="s">
        <v>200</v>
      </c>
      <c r="G546" s="290"/>
      <c r="J546" s="291"/>
      <c r="N546" s="348"/>
      <c r="O546" s="395"/>
    </row>
    <row r="547" hidden="1">
      <c r="A547" s="395"/>
      <c r="B547" s="346">
        <v>1.0</v>
      </c>
      <c r="C547" s="202" t="str">
        <f>E547&amp;F547</f>
        <v>Nick Name:...</v>
      </c>
      <c r="D547" s="349" t="s">
        <v>173</v>
      </c>
      <c r="E547" s="347" t="s">
        <v>174</v>
      </c>
      <c r="F547" s="289" t="s">
        <v>200</v>
      </c>
      <c r="J547" s="291" t="s">
        <v>175</v>
      </c>
      <c r="L547" s="298" t="s">
        <v>200</v>
      </c>
      <c r="N547" s="348"/>
      <c r="O547" s="395"/>
    </row>
    <row r="548" hidden="1">
      <c r="A548" s="395"/>
      <c r="B548" s="346">
        <v>1.0</v>
      </c>
      <c r="C548" s="202" t="str">
        <f>E548&amp;F547</f>
        <v>Full Name:...</v>
      </c>
      <c r="D548" s="349" t="s">
        <v>177</v>
      </c>
      <c r="E548" s="347" t="s">
        <v>178</v>
      </c>
      <c r="F548" s="289" t="s">
        <v>200</v>
      </c>
      <c r="J548" s="291" t="s">
        <v>179</v>
      </c>
      <c r="L548" s="298" t="s">
        <v>200</v>
      </c>
      <c r="N548" s="348"/>
      <c r="O548" s="395"/>
    </row>
    <row r="549" hidden="1">
      <c r="A549" s="398"/>
      <c r="B549" s="346">
        <v>1.0</v>
      </c>
      <c r="C549" s="202" t="str">
        <f>E549&amp;F547</f>
        <v>Position:...</v>
      </c>
      <c r="D549" s="349" t="s">
        <v>181</v>
      </c>
      <c r="E549" s="347" t="s">
        <v>182</v>
      </c>
      <c r="F549" s="289" t="s">
        <v>200</v>
      </c>
      <c r="J549" s="291" t="s">
        <v>184</v>
      </c>
      <c r="L549" s="298" t="s">
        <v>200</v>
      </c>
      <c r="N549" s="348"/>
      <c r="O549" s="398"/>
    </row>
    <row r="550" hidden="1">
      <c r="A550" s="398"/>
      <c r="B550" s="346">
        <v>1.0</v>
      </c>
      <c r="C550" s="202" t="str">
        <f>E550&amp;F547</f>
        <v>Birth:...</v>
      </c>
      <c r="D550" s="349" t="s">
        <v>185</v>
      </c>
      <c r="E550" s="347" t="s">
        <v>186</v>
      </c>
      <c r="F550" s="289" t="s">
        <v>212</v>
      </c>
      <c r="J550" s="351"/>
      <c r="K550" s="352"/>
      <c r="L550" s="352"/>
      <c r="M550" s="352"/>
      <c r="N550" s="348"/>
      <c r="O550" s="398"/>
    </row>
    <row r="551" hidden="1">
      <c r="A551" s="398"/>
      <c r="B551" s="346">
        <v>1.0</v>
      </c>
      <c r="C551" s="202" t="str">
        <f>E551&amp;F547</f>
        <v>Experience:...</v>
      </c>
      <c r="D551" s="349" t="s">
        <v>188</v>
      </c>
      <c r="E551" s="347" t="s">
        <v>189</v>
      </c>
      <c r="F551" s="289" t="s">
        <v>200</v>
      </c>
      <c r="J551" s="318"/>
      <c r="K551" s="352"/>
      <c r="L551" s="352"/>
      <c r="M551" s="352"/>
      <c r="N551" s="348"/>
      <c r="O551" s="398"/>
    </row>
    <row r="552" hidden="1">
      <c r="A552" s="397"/>
      <c r="B552" s="346"/>
      <c r="C552" s="374" t="str">
        <f>E552&amp;F547</f>
        <v>Quote:...</v>
      </c>
      <c r="D552" s="353" t="s">
        <v>191</v>
      </c>
      <c r="E552" s="354" t="s">
        <v>192</v>
      </c>
      <c r="F552" s="308" t="s">
        <v>200</v>
      </c>
      <c r="J552" s="318"/>
      <c r="K552" s="352"/>
      <c r="L552" s="352"/>
      <c r="M552" s="352"/>
      <c r="N552" s="348"/>
      <c r="O552" s="397"/>
    </row>
    <row r="553" hidden="1">
      <c r="A553" s="397"/>
      <c r="B553" s="346"/>
      <c r="J553" s="318"/>
      <c r="K553" s="352"/>
      <c r="L553" s="352"/>
      <c r="N553" s="348"/>
      <c r="O553" s="397"/>
    </row>
    <row r="554" hidden="1">
      <c r="A554" s="397"/>
      <c r="B554" s="356"/>
      <c r="G554" s="300" t="str">
        <f>If(H554&gt;=0,"🔴","💣")</f>
        <v>🔴</v>
      </c>
      <c r="H554" s="309">
        <f>if(F547="...",0,vlookup(F547,Summary!$E:$V,18,false))</f>
        <v>0</v>
      </c>
      <c r="J554" s="318"/>
      <c r="N554" s="348"/>
      <c r="O554" s="397"/>
    </row>
    <row r="555" hidden="1">
      <c r="A555" s="399"/>
      <c r="B555" s="356"/>
      <c r="C555" s="286" t="str">
        <f>G555&amp;F547</f>
        <v>❤️️...</v>
      </c>
      <c r="D555" s="357"/>
      <c r="E555" s="358"/>
      <c r="F555" s="359"/>
      <c r="G555" s="351" t="s">
        <v>194</v>
      </c>
      <c r="H555" s="309" t="str">
        <f>sumif(L558:L571,"complete",K558:K571)-vlookup(F547,ADDSTORE!$M$3:$O$38,3,false)</f>
        <v>#N/A</v>
      </c>
      <c r="J555" s="360"/>
      <c r="K555" s="360"/>
      <c r="N555" s="348"/>
      <c r="O555" s="399"/>
    </row>
    <row r="556" hidden="1">
      <c r="A556" s="399"/>
      <c r="B556" s="317"/>
      <c r="C556" s="318"/>
      <c r="D556" s="361"/>
      <c r="E556" s="318"/>
      <c r="F556" s="362"/>
      <c r="G556" s="318"/>
      <c r="H556" s="318"/>
      <c r="I556" s="318"/>
      <c r="J556" s="318"/>
      <c r="K556" s="318"/>
      <c r="L556" s="363"/>
      <c r="M556" s="363"/>
      <c r="N556" s="348"/>
      <c r="O556" s="399"/>
    </row>
    <row r="557" hidden="1">
      <c r="A557" s="395"/>
      <c r="B557" s="317"/>
      <c r="C557" s="318"/>
      <c r="D557" s="319" t="s">
        <v>195</v>
      </c>
      <c r="E557" s="320"/>
      <c r="F557" s="320"/>
      <c r="G557" s="320"/>
      <c r="H557" s="320"/>
      <c r="I557" s="321" t="s">
        <v>196</v>
      </c>
      <c r="J557" s="322" t="s">
        <v>197</v>
      </c>
      <c r="K557" s="323" t="s">
        <v>198</v>
      </c>
      <c r="L557" s="322" t="s">
        <v>199</v>
      </c>
      <c r="N557" s="348"/>
      <c r="O557" s="395"/>
    </row>
    <row r="558" hidden="1">
      <c r="A558" s="395"/>
      <c r="B558" s="325" t="str">
        <f>if(K558="complete","🏅",if(K558="fail","💢",))</f>
        <v/>
      </c>
      <c r="C558" s="180" t="str">
        <f>K558&amp;F547&amp;D558</f>
        <v>...1</v>
      </c>
      <c r="D558" s="326">
        <v>1.0</v>
      </c>
      <c r="E558" s="327"/>
      <c r="F558" s="328"/>
      <c r="G558" s="328"/>
      <c r="H558" s="328"/>
      <c r="I558" s="329"/>
      <c r="J558" s="330"/>
      <c r="K558" s="365"/>
      <c r="L558" s="364"/>
      <c r="N558" s="348"/>
      <c r="O558" s="395"/>
    </row>
    <row r="559" hidden="1">
      <c r="A559" s="395"/>
      <c r="B559" s="325" t="str">
        <f t="shared" ref="B559:B572" si="24">if(L559="complete","🏅",if(L559="fail","💢",))</f>
        <v/>
      </c>
      <c r="C559" s="180" t="str">
        <f>L559&amp;F548&amp;D559</f>
        <v>...2</v>
      </c>
      <c r="D559" s="326">
        <v>2.0</v>
      </c>
      <c r="E559" s="327"/>
      <c r="F559" s="328"/>
      <c r="G559" s="328"/>
      <c r="H559" s="328"/>
      <c r="I559" s="329"/>
      <c r="J559" s="330"/>
      <c r="K559" s="365"/>
      <c r="L559" s="364"/>
      <c r="N559" s="348"/>
      <c r="O559" s="395"/>
    </row>
    <row r="560" hidden="1">
      <c r="A560" s="398"/>
      <c r="B560" s="325" t="str">
        <f t="shared" si="24"/>
        <v/>
      </c>
      <c r="C560" s="180" t="str">
        <f>L560&amp;F548&amp;D560</f>
        <v>...3</v>
      </c>
      <c r="D560" s="326">
        <v>3.0</v>
      </c>
      <c r="E560" s="327"/>
      <c r="F560" s="328"/>
      <c r="G560" s="328"/>
      <c r="H560" s="328"/>
      <c r="I560" s="329"/>
      <c r="J560" s="330"/>
      <c r="K560" s="366"/>
      <c r="L560" s="364"/>
      <c r="N560" s="348"/>
      <c r="O560" s="398"/>
    </row>
    <row r="561" hidden="1">
      <c r="A561" s="398"/>
      <c r="B561" s="325" t="str">
        <f t="shared" si="24"/>
        <v/>
      </c>
      <c r="C561" s="180" t="str">
        <f>L561&amp;F548&amp;D561</f>
        <v>...4</v>
      </c>
      <c r="D561" s="326">
        <v>4.0</v>
      </c>
      <c r="E561" s="327"/>
      <c r="F561" s="328"/>
      <c r="G561" s="328"/>
      <c r="H561" s="328"/>
      <c r="I561" s="329"/>
      <c r="J561" s="330"/>
      <c r="K561" s="365"/>
      <c r="L561" s="364"/>
      <c r="N561" s="348"/>
      <c r="O561" s="398"/>
    </row>
    <row r="562" hidden="1">
      <c r="A562" s="398"/>
      <c r="B562" s="325" t="str">
        <f t="shared" si="24"/>
        <v/>
      </c>
      <c r="C562" s="180" t="str">
        <f>L562&amp;F548&amp;D562</f>
        <v>...5</v>
      </c>
      <c r="D562" s="326">
        <v>5.0</v>
      </c>
      <c r="E562" s="327"/>
      <c r="F562" s="328"/>
      <c r="G562" s="328"/>
      <c r="H562" s="328"/>
      <c r="I562" s="329"/>
      <c r="J562" s="330"/>
      <c r="K562" s="366"/>
      <c r="L562" s="330"/>
      <c r="N562" s="348"/>
      <c r="O562" s="398"/>
    </row>
    <row r="563" hidden="1">
      <c r="A563" s="397"/>
      <c r="B563" s="325" t="str">
        <f t="shared" si="24"/>
        <v/>
      </c>
      <c r="C563" s="180" t="str">
        <f>L563&amp;F548&amp;D563</f>
        <v>...6</v>
      </c>
      <c r="D563" s="326">
        <v>6.0</v>
      </c>
      <c r="E563" s="327"/>
      <c r="F563" s="328"/>
      <c r="G563" s="328"/>
      <c r="H563" s="328"/>
      <c r="I563" s="329"/>
      <c r="J563" s="330"/>
      <c r="K563" s="366"/>
      <c r="L563" s="330"/>
      <c r="N563" s="348"/>
      <c r="O563" s="397"/>
    </row>
    <row r="564" hidden="1">
      <c r="A564" s="397"/>
      <c r="B564" s="325" t="str">
        <f t="shared" si="24"/>
        <v/>
      </c>
      <c r="C564" s="180" t="str">
        <f>L564&amp;F548&amp;D564</f>
        <v>...7</v>
      </c>
      <c r="D564" s="326">
        <v>7.0</v>
      </c>
      <c r="E564" s="327"/>
      <c r="F564" s="328"/>
      <c r="G564" s="328"/>
      <c r="H564" s="328"/>
      <c r="I564" s="329"/>
      <c r="J564" s="330"/>
      <c r="K564" s="366"/>
      <c r="L564" s="330"/>
      <c r="N564" s="348"/>
      <c r="O564" s="397"/>
    </row>
    <row r="565" hidden="1">
      <c r="A565" s="397"/>
      <c r="B565" s="325" t="str">
        <f t="shared" si="24"/>
        <v/>
      </c>
      <c r="C565" s="180" t="str">
        <f>L565&amp;F548&amp;D565</f>
        <v>...8</v>
      </c>
      <c r="D565" s="326">
        <v>8.0</v>
      </c>
      <c r="E565" s="327"/>
      <c r="F565" s="328"/>
      <c r="G565" s="328"/>
      <c r="H565" s="328"/>
      <c r="I565" s="329"/>
      <c r="J565" s="330"/>
      <c r="K565" s="366"/>
      <c r="L565" s="330"/>
      <c r="N565" s="348"/>
      <c r="O565" s="397"/>
    </row>
    <row r="566" hidden="1">
      <c r="A566" s="391"/>
      <c r="B566" s="325" t="str">
        <f t="shared" si="24"/>
        <v/>
      </c>
      <c r="C566" s="180" t="str">
        <f>L566&amp;F548&amp;D566</f>
        <v>...9</v>
      </c>
      <c r="D566" s="326">
        <v>9.0</v>
      </c>
      <c r="E566" s="327"/>
      <c r="F566" s="328"/>
      <c r="G566" s="328"/>
      <c r="H566" s="328"/>
      <c r="I566" s="329"/>
      <c r="J566" s="330"/>
      <c r="K566" s="366"/>
      <c r="L566" s="330"/>
      <c r="N566" s="348"/>
      <c r="O566" s="391"/>
    </row>
    <row r="567" hidden="1">
      <c r="A567" s="391"/>
      <c r="B567" s="325" t="str">
        <f t="shared" si="24"/>
        <v/>
      </c>
      <c r="C567" s="180" t="str">
        <f>L567&amp;F548&amp;D567</f>
        <v>...10</v>
      </c>
      <c r="D567" s="326">
        <v>10.0</v>
      </c>
      <c r="E567" s="327"/>
      <c r="F567" s="328"/>
      <c r="G567" s="328"/>
      <c r="H567" s="328"/>
      <c r="I567" s="329"/>
      <c r="J567" s="330"/>
      <c r="K567" s="366"/>
      <c r="L567" s="330"/>
      <c r="N567" s="348"/>
      <c r="O567" s="391"/>
    </row>
    <row r="568" hidden="1">
      <c r="A568" s="391"/>
      <c r="B568" s="325" t="str">
        <f t="shared" si="24"/>
        <v/>
      </c>
      <c r="C568" s="180" t="str">
        <f>L568&amp;F548&amp;D568</f>
        <v>...11</v>
      </c>
      <c r="D568" s="326">
        <v>11.0</v>
      </c>
      <c r="E568" s="327"/>
      <c r="F568" s="328"/>
      <c r="G568" s="328"/>
      <c r="H568" s="328"/>
      <c r="I568" s="329"/>
      <c r="J568" s="330"/>
      <c r="K568" s="366"/>
      <c r="L568" s="330"/>
      <c r="N568" s="348"/>
      <c r="O568" s="391"/>
    </row>
    <row r="569" hidden="1">
      <c r="A569" s="391"/>
      <c r="B569" s="325" t="str">
        <f t="shared" si="24"/>
        <v/>
      </c>
      <c r="C569" s="180" t="str">
        <f>L569&amp;F548&amp;D569</f>
        <v>...12</v>
      </c>
      <c r="D569" s="326">
        <v>12.0</v>
      </c>
      <c r="E569" s="327"/>
      <c r="F569" s="328"/>
      <c r="G569" s="328"/>
      <c r="H569" s="328"/>
      <c r="I569" s="329"/>
      <c r="J569" s="330"/>
      <c r="K569" s="366"/>
      <c r="L569" s="330"/>
      <c r="N569" s="348"/>
      <c r="O569" s="391"/>
    </row>
    <row r="570" hidden="1">
      <c r="A570" s="391"/>
      <c r="B570" s="325" t="str">
        <f t="shared" si="24"/>
        <v/>
      </c>
      <c r="C570" s="180" t="str">
        <f>L570&amp;F548&amp;D570</f>
        <v>...13</v>
      </c>
      <c r="D570" s="326">
        <v>13.0</v>
      </c>
      <c r="E570" s="327"/>
      <c r="F570" s="328"/>
      <c r="G570" s="328"/>
      <c r="H570" s="328"/>
      <c r="I570" s="329"/>
      <c r="J570" s="330"/>
      <c r="K570" s="366"/>
      <c r="L570" s="330"/>
      <c r="N570" s="348"/>
      <c r="O570" s="391"/>
    </row>
    <row r="571" hidden="1">
      <c r="A571" s="391"/>
      <c r="B571" s="325" t="str">
        <f t="shared" si="24"/>
        <v/>
      </c>
      <c r="C571" s="180" t="str">
        <f>L571&amp;F548&amp;D571</f>
        <v>...14</v>
      </c>
      <c r="D571" s="326">
        <v>14.0</v>
      </c>
      <c r="E571" s="327"/>
      <c r="F571" s="328"/>
      <c r="G571" s="328"/>
      <c r="H571" s="328"/>
      <c r="I571" s="329"/>
      <c r="J571" s="330"/>
      <c r="K571" s="366"/>
      <c r="L571" s="330"/>
      <c r="N571" s="348"/>
      <c r="O571" s="391"/>
    </row>
    <row r="572" hidden="1">
      <c r="A572" s="391"/>
      <c r="B572" s="325" t="str">
        <f t="shared" si="24"/>
        <v/>
      </c>
      <c r="C572" s="180" t="str">
        <f>L572&amp;F548&amp;D572</f>
        <v>...</v>
      </c>
      <c r="D572" s="400"/>
      <c r="E572" s="328"/>
      <c r="F572" s="328"/>
      <c r="G572" s="328"/>
      <c r="H572" s="328"/>
      <c r="I572" s="401"/>
      <c r="J572" s="330"/>
      <c r="K572" s="402"/>
      <c r="L572" s="402"/>
      <c r="M572" s="401"/>
      <c r="N572" s="348"/>
      <c r="O572" s="391"/>
    </row>
    <row r="573" hidden="1">
      <c r="A573" s="391"/>
      <c r="B573" s="367"/>
      <c r="C573" s="368"/>
      <c r="D573" s="369"/>
      <c r="E573" s="368"/>
      <c r="F573" s="370"/>
      <c r="G573" s="368"/>
      <c r="H573" s="368"/>
      <c r="I573" s="368"/>
      <c r="J573" s="368"/>
      <c r="K573" s="368"/>
      <c r="L573" s="368"/>
      <c r="M573" s="368"/>
      <c r="N573" s="371"/>
      <c r="O573" s="391"/>
    </row>
    <row r="574" hidden="1">
      <c r="A574" s="391"/>
      <c r="B574" s="339"/>
      <c r="D574" s="339"/>
      <c r="F574" s="340"/>
      <c r="O574" s="391"/>
    </row>
    <row r="575" ht="9.0" hidden="1" customHeight="1">
      <c r="A575" s="399"/>
      <c r="B575" s="393"/>
      <c r="D575" s="394"/>
      <c r="E575" s="395"/>
      <c r="F575" s="396"/>
      <c r="G575" s="397"/>
      <c r="H575" s="391"/>
      <c r="I575" s="391"/>
      <c r="J575" s="397"/>
      <c r="K575" s="398"/>
      <c r="L575" s="395"/>
      <c r="M575" s="399"/>
      <c r="N575" s="393"/>
      <c r="O575" s="399"/>
    </row>
    <row r="576" hidden="1">
      <c r="A576" s="399"/>
      <c r="B576" s="341"/>
      <c r="C576" s="342"/>
      <c r="D576" s="343"/>
      <c r="E576" s="342"/>
      <c r="F576" s="344"/>
      <c r="G576" s="342"/>
      <c r="H576" s="342"/>
      <c r="I576" s="342"/>
      <c r="J576" s="342"/>
      <c r="K576" s="342"/>
      <c r="L576" s="342"/>
      <c r="M576" s="342"/>
      <c r="N576" s="345"/>
      <c r="O576" s="399"/>
    </row>
    <row r="577" hidden="1">
      <c r="A577" s="395"/>
      <c r="B577" s="346">
        <v>1.0</v>
      </c>
      <c r="D577" s="287" t="s">
        <v>171</v>
      </c>
      <c r="E577" s="347" t="s">
        <v>172</v>
      </c>
      <c r="F577" s="289" t="s">
        <v>249</v>
      </c>
      <c r="G577" s="290"/>
      <c r="J577" s="291"/>
      <c r="N577" s="348"/>
      <c r="O577" s="395"/>
    </row>
    <row r="578" hidden="1">
      <c r="A578" s="395"/>
      <c r="B578" s="346">
        <v>1.0</v>
      </c>
      <c r="C578" s="202" t="str">
        <f>E578&amp;F578</f>
        <v>Nick Name:Mr Park.Site</v>
      </c>
      <c r="D578" s="349" t="s">
        <v>173</v>
      </c>
      <c r="E578" s="347" t="s">
        <v>174</v>
      </c>
      <c r="F578" s="289" t="s">
        <v>250</v>
      </c>
      <c r="J578" s="291" t="s">
        <v>175</v>
      </c>
      <c r="L578" s="298" t="s">
        <v>200</v>
      </c>
      <c r="N578" s="348"/>
      <c r="O578" s="395"/>
    </row>
    <row r="579" hidden="1">
      <c r="A579" s="395"/>
      <c r="B579" s="346">
        <v>1.0</v>
      </c>
      <c r="C579" s="202" t="str">
        <f>E579&amp;F578</f>
        <v>Full Name:Mr Park.Site</v>
      </c>
      <c r="D579" s="349" t="s">
        <v>177</v>
      </c>
      <c r="E579" s="347" t="s">
        <v>178</v>
      </c>
      <c r="F579" s="289" t="s">
        <v>251</v>
      </c>
      <c r="J579" s="291" t="s">
        <v>179</v>
      </c>
      <c r="L579" s="298" t="s">
        <v>200</v>
      </c>
      <c r="N579" s="348"/>
      <c r="O579" s="395"/>
    </row>
    <row r="580" hidden="1">
      <c r="A580" s="398"/>
      <c r="B580" s="346">
        <v>1.0</v>
      </c>
      <c r="C580" s="202" t="str">
        <f>E580&amp;F578</f>
        <v>Position:Mr Park.Site</v>
      </c>
      <c r="D580" s="349" t="s">
        <v>181</v>
      </c>
      <c r="E580" s="347" t="s">
        <v>182</v>
      </c>
      <c r="F580" s="289" t="s">
        <v>252</v>
      </c>
      <c r="J580" s="291" t="s">
        <v>184</v>
      </c>
      <c r="L580" s="298" t="s">
        <v>200</v>
      </c>
      <c r="N580" s="348"/>
      <c r="O580" s="398"/>
    </row>
    <row r="581" hidden="1">
      <c r="A581" s="398"/>
      <c r="B581" s="346">
        <v>1.0</v>
      </c>
      <c r="C581" s="202" t="str">
        <f>E581&amp;F578</f>
        <v>Birth:Mr Park.Site</v>
      </c>
      <c r="D581" s="349" t="s">
        <v>185</v>
      </c>
      <c r="E581" s="347" t="s">
        <v>186</v>
      </c>
      <c r="F581" s="289" t="s">
        <v>212</v>
      </c>
      <c r="J581" s="351"/>
      <c r="K581" s="352"/>
      <c r="L581" s="352"/>
      <c r="M581" s="352"/>
      <c r="N581" s="348"/>
      <c r="O581" s="398"/>
    </row>
    <row r="582" hidden="1">
      <c r="A582" s="398"/>
      <c r="B582" s="346">
        <v>1.0</v>
      </c>
      <c r="C582" s="202" t="str">
        <f>E582&amp;F578</f>
        <v>Experience:Mr Park.Site</v>
      </c>
      <c r="D582" s="349" t="s">
        <v>188</v>
      </c>
      <c r="E582" s="347" t="s">
        <v>189</v>
      </c>
      <c r="F582" s="289" t="s">
        <v>200</v>
      </c>
      <c r="J582" s="318"/>
      <c r="K582" s="352"/>
      <c r="L582" s="352"/>
      <c r="M582" s="352"/>
      <c r="N582" s="348"/>
      <c r="O582" s="398"/>
    </row>
    <row r="583" hidden="1">
      <c r="A583" s="397"/>
      <c r="B583" s="346"/>
      <c r="C583" s="374" t="str">
        <f>E583&amp;F578</f>
        <v>Quote:Mr Park.Site</v>
      </c>
      <c r="D583" s="353" t="s">
        <v>191</v>
      </c>
      <c r="E583" s="354" t="s">
        <v>192</v>
      </c>
      <c r="F583" s="308" t="s">
        <v>200</v>
      </c>
      <c r="J583" s="318"/>
      <c r="K583" s="352"/>
      <c r="L583" s="352"/>
      <c r="M583" s="352"/>
      <c r="N583" s="348"/>
      <c r="O583" s="397"/>
    </row>
    <row r="584" hidden="1">
      <c r="A584" s="397"/>
      <c r="B584" s="346"/>
      <c r="J584" s="318"/>
      <c r="K584" s="352"/>
      <c r="L584" s="352"/>
      <c r="N584" s="348"/>
      <c r="O584" s="397"/>
    </row>
    <row r="585" hidden="1">
      <c r="A585" s="397"/>
      <c r="B585" s="356"/>
      <c r="G585" s="300" t="str">
        <f>If(H585&gt;=0,"🔴","💣")</f>
        <v>#N/A</v>
      </c>
      <c r="H585" s="309" t="str">
        <f>if(F578="...",0,vlookup(F578,Summary!$E:$V,18,false))</f>
        <v>#N/A</v>
      </c>
      <c r="J585" s="318"/>
      <c r="N585" s="348"/>
      <c r="O585" s="397"/>
    </row>
    <row r="586" hidden="1">
      <c r="A586" s="391"/>
      <c r="B586" s="356"/>
      <c r="C586" s="286" t="str">
        <f>G586&amp;F578</f>
        <v>❤️️Mr Park.Site</v>
      </c>
      <c r="D586" s="357"/>
      <c r="E586" s="358"/>
      <c r="F586" s="359"/>
      <c r="G586" s="351" t="s">
        <v>194</v>
      </c>
      <c r="H586" s="309" t="str">
        <f>sumif(L589:L602,"complete",K589:K602)-vlookup(F578,ADDSTORE!$M$3:$O$38,3,false)</f>
        <v>#N/A</v>
      </c>
      <c r="J586" s="360"/>
      <c r="K586" s="360"/>
      <c r="N586" s="348"/>
      <c r="O586" s="391"/>
    </row>
    <row r="587" hidden="1">
      <c r="A587" s="391"/>
      <c r="B587" s="317"/>
      <c r="C587" s="318"/>
      <c r="D587" s="361"/>
      <c r="E587" s="318"/>
      <c r="F587" s="362"/>
      <c r="G587" s="318"/>
      <c r="H587" s="318"/>
      <c r="I587" s="318"/>
      <c r="J587" s="318"/>
      <c r="K587" s="318"/>
      <c r="L587" s="363"/>
      <c r="M587" s="363"/>
      <c r="N587" s="348"/>
      <c r="O587" s="391"/>
    </row>
    <row r="588" hidden="1">
      <c r="A588" s="391"/>
      <c r="B588" s="317"/>
      <c r="C588" s="318"/>
      <c r="D588" s="319" t="s">
        <v>195</v>
      </c>
      <c r="E588" s="320"/>
      <c r="F588" s="320"/>
      <c r="G588" s="320"/>
      <c r="H588" s="320"/>
      <c r="I588" s="321" t="s">
        <v>196</v>
      </c>
      <c r="J588" s="322" t="s">
        <v>197</v>
      </c>
      <c r="K588" s="323" t="s">
        <v>198</v>
      </c>
      <c r="L588" s="322" t="s">
        <v>199</v>
      </c>
      <c r="N588" s="348"/>
      <c r="O588" s="391"/>
    </row>
    <row r="589" hidden="1">
      <c r="A589" s="399"/>
      <c r="B589" s="325" t="str">
        <f t="shared" ref="B589:B602" si="25">if(L589="complete","🏅",if(L589="fail","💢",))</f>
        <v/>
      </c>
      <c r="C589" s="180" t="str">
        <f>L589&amp;F578&amp;D589</f>
        <v>Mr Park.Site1</v>
      </c>
      <c r="D589" s="326">
        <v>1.0</v>
      </c>
      <c r="E589" s="327"/>
      <c r="F589" s="328"/>
      <c r="G589" s="328"/>
      <c r="H589" s="328"/>
      <c r="I589" s="329"/>
      <c r="J589" s="330"/>
      <c r="K589" s="365"/>
      <c r="L589" s="364"/>
      <c r="N589" s="348"/>
      <c r="O589" s="399"/>
    </row>
    <row r="590" hidden="1">
      <c r="A590" s="399"/>
      <c r="B590" s="325" t="str">
        <f t="shared" si="25"/>
        <v/>
      </c>
      <c r="C590" s="180" t="str">
        <f>L590&amp;F578&amp;D590</f>
        <v>Mr Park.Site2</v>
      </c>
      <c r="D590" s="326">
        <v>2.0</v>
      </c>
      <c r="E590" s="327"/>
      <c r="F590" s="328"/>
      <c r="G590" s="328"/>
      <c r="H590" s="328"/>
      <c r="I590" s="329"/>
      <c r="J590" s="330"/>
      <c r="K590" s="366"/>
      <c r="L590" s="364"/>
      <c r="N590" s="348"/>
      <c r="O590" s="399"/>
    </row>
    <row r="591" hidden="1">
      <c r="A591" s="395"/>
      <c r="B591" s="325" t="str">
        <f t="shared" si="25"/>
        <v/>
      </c>
      <c r="C591" s="180" t="str">
        <f>L591&amp;F578&amp;D591</f>
        <v>Mr Park.Site3</v>
      </c>
      <c r="D591" s="326">
        <v>3.0</v>
      </c>
      <c r="E591" s="327"/>
      <c r="F591" s="328"/>
      <c r="G591" s="328"/>
      <c r="H591" s="328"/>
      <c r="I591" s="329"/>
      <c r="J591" s="330"/>
      <c r="K591" s="366"/>
      <c r="L591" s="364"/>
      <c r="N591" s="348"/>
      <c r="O591" s="395"/>
    </row>
    <row r="592" hidden="1">
      <c r="A592" s="395"/>
      <c r="B592" s="325" t="str">
        <f t="shared" si="25"/>
        <v/>
      </c>
      <c r="C592" s="180" t="str">
        <f>L592&amp;F578&amp;D592</f>
        <v>Mr Park.Site4</v>
      </c>
      <c r="D592" s="326">
        <v>4.0</v>
      </c>
      <c r="E592" s="327"/>
      <c r="F592" s="328"/>
      <c r="G592" s="328"/>
      <c r="H592" s="328"/>
      <c r="I592" s="329"/>
      <c r="J592" s="330"/>
      <c r="K592" s="365"/>
      <c r="L592" s="364"/>
      <c r="N592" s="348"/>
      <c r="O592" s="395"/>
    </row>
    <row r="593" hidden="1">
      <c r="A593" s="395"/>
      <c r="B593" s="325" t="str">
        <f t="shared" si="25"/>
        <v/>
      </c>
      <c r="C593" s="180" t="str">
        <f>L593&amp;F578&amp;D593</f>
        <v>Mr Park.Site5</v>
      </c>
      <c r="D593" s="326">
        <v>5.0</v>
      </c>
      <c r="E593" s="327"/>
      <c r="F593" s="328"/>
      <c r="G593" s="328"/>
      <c r="H593" s="328"/>
      <c r="I593" s="329"/>
      <c r="J593" s="330"/>
      <c r="K593" s="366"/>
      <c r="L593" s="330"/>
      <c r="N593" s="348"/>
      <c r="O593" s="395"/>
    </row>
    <row r="594" hidden="1">
      <c r="A594" s="398"/>
      <c r="B594" s="325" t="str">
        <f t="shared" si="25"/>
        <v/>
      </c>
      <c r="C594" s="180" t="str">
        <f>L594&amp;F578&amp;D594</f>
        <v>Mr Park.Site6</v>
      </c>
      <c r="D594" s="326">
        <v>6.0</v>
      </c>
      <c r="E594" s="327"/>
      <c r="F594" s="328"/>
      <c r="G594" s="328"/>
      <c r="H594" s="328"/>
      <c r="I594" s="329"/>
      <c r="J594" s="330"/>
      <c r="K594" s="366"/>
      <c r="L594" s="330"/>
      <c r="N594" s="348"/>
      <c r="O594" s="398"/>
    </row>
    <row r="595" hidden="1">
      <c r="A595" s="398"/>
      <c r="B595" s="325" t="str">
        <f t="shared" si="25"/>
        <v/>
      </c>
      <c r="C595" s="180" t="str">
        <f>L595&amp;F578&amp;D595</f>
        <v>Mr Park.Site7</v>
      </c>
      <c r="D595" s="326">
        <v>7.0</v>
      </c>
      <c r="E595" s="327"/>
      <c r="F595" s="328"/>
      <c r="G595" s="328"/>
      <c r="H595" s="328"/>
      <c r="I595" s="329"/>
      <c r="J595" s="330"/>
      <c r="K595" s="366"/>
      <c r="L595" s="330"/>
      <c r="N595" s="348"/>
      <c r="O595" s="398"/>
    </row>
    <row r="596" hidden="1">
      <c r="A596" s="398"/>
      <c r="B596" s="325" t="str">
        <f t="shared" si="25"/>
        <v/>
      </c>
      <c r="C596" s="180" t="str">
        <f>L596&amp;F578&amp;D596</f>
        <v>Mr Park.Site8</v>
      </c>
      <c r="D596" s="326">
        <v>8.0</v>
      </c>
      <c r="E596" s="327"/>
      <c r="F596" s="328"/>
      <c r="G596" s="328"/>
      <c r="H596" s="328"/>
      <c r="I596" s="329"/>
      <c r="J596" s="330"/>
      <c r="K596" s="366"/>
      <c r="L596" s="330"/>
      <c r="N596" s="348"/>
      <c r="O596" s="398"/>
    </row>
    <row r="597" hidden="1">
      <c r="A597" s="397"/>
      <c r="B597" s="325" t="str">
        <f t="shared" si="25"/>
        <v/>
      </c>
      <c r="C597" s="180" t="str">
        <f>L597&amp;F578&amp;D597</f>
        <v>Mr Park.Site9</v>
      </c>
      <c r="D597" s="326">
        <v>9.0</v>
      </c>
      <c r="E597" s="327"/>
      <c r="F597" s="328"/>
      <c r="G597" s="328"/>
      <c r="H597" s="328"/>
      <c r="I597" s="329"/>
      <c r="J597" s="330"/>
      <c r="K597" s="366"/>
      <c r="L597" s="330"/>
      <c r="N597" s="348"/>
      <c r="O597" s="397"/>
    </row>
    <row r="598" hidden="1">
      <c r="A598" s="397"/>
      <c r="B598" s="325" t="str">
        <f t="shared" si="25"/>
        <v/>
      </c>
      <c r="C598" s="180" t="str">
        <f>L598&amp;F578&amp;D598</f>
        <v>Mr Park.Site10</v>
      </c>
      <c r="D598" s="326">
        <v>10.0</v>
      </c>
      <c r="E598" s="327"/>
      <c r="F598" s="328"/>
      <c r="G598" s="328"/>
      <c r="H598" s="328"/>
      <c r="I598" s="329"/>
      <c r="J598" s="330"/>
      <c r="K598" s="366"/>
      <c r="L598" s="330"/>
      <c r="N598" s="348"/>
      <c r="O598" s="397"/>
    </row>
    <row r="599" hidden="1">
      <c r="A599" s="397"/>
      <c r="B599" s="325" t="str">
        <f t="shared" si="25"/>
        <v/>
      </c>
      <c r="C599" s="180" t="str">
        <f>L599&amp;F578&amp;D599</f>
        <v>Mr Park.Site11</v>
      </c>
      <c r="D599" s="326">
        <v>11.0</v>
      </c>
      <c r="E599" s="327"/>
      <c r="F599" s="328"/>
      <c r="G599" s="328"/>
      <c r="H599" s="328"/>
      <c r="I599" s="329"/>
      <c r="J599" s="330"/>
      <c r="K599" s="366"/>
      <c r="L599" s="330"/>
      <c r="N599" s="348"/>
      <c r="O599" s="397"/>
    </row>
    <row r="600" hidden="1">
      <c r="A600" s="391"/>
      <c r="B600" s="325" t="str">
        <f t="shared" si="25"/>
        <v/>
      </c>
      <c r="C600" s="180" t="str">
        <f>L600&amp;F578&amp;D600</f>
        <v>Mr Park.Site12</v>
      </c>
      <c r="D600" s="326">
        <v>12.0</v>
      </c>
      <c r="E600" s="327"/>
      <c r="F600" s="328"/>
      <c r="G600" s="328"/>
      <c r="H600" s="328"/>
      <c r="I600" s="329"/>
      <c r="J600" s="330"/>
      <c r="K600" s="366"/>
      <c r="L600" s="330"/>
      <c r="N600" s="348"/>
      <c r="O600" s="391"/>
    </row>
    <row r="601" hidden="1">
      <c r="A601" s="391"/>
      <c r="B601" s="325" t="str">
        <f t="shared" si="25"/>
        <v/>
      </c>
      <c r="C601" s="180" t="str">
        <f>L601&amp;F578&amp;D601</f>
        <v>Mr Park.Site13</v>
      </c>
      <c r="D601" s="326">
        <v>13.0</v>
      </c>
      <c r="E601" s="327"/>
      <c r="F601" s="328"/>
      <c r="G601" s="328"/>
      <c r="H601" s="328"/>
      <c r="I601" s="329"/>
      <c r="J601" s="330"/>
      <c r="K601" s="366"/>
      <c r="L601" s="330"/>
      <c r="N601" s="348"/>
      <c r="O601" s="391"/>
    </row>
    <row r="602" hidden="1">
      <c r="A602" s="391"/>
      <c r="B602" s="325" t="str">
        <f t="shared" si="25"/>
        <v/>
      </c>
      <c r="C602" s="180" t="str">
        <f>L602&amp;F578&amp;D602</f>
        <v>Mr Park.Site14</v>
      </c>
      <c r="D602" s="326">
        <v>14.0</v>
      </c>
      <c r="E602" s="327"/>
      <c r="F602" s="328"/>
      <c r="G602" s="328"/>
      <c r="H602" s="328"/>
      <c r="I602" s="329"/>
      <c r="J602" s="330"/>
      <c r="K602" s="366"/>
      <c r="L602" s="330"/>
      <c r="N602" s="348"/>
      <c r="O602" s="391"/>
    </row>
    <row r="603" hidden="1">
      <c r="A603" s="391"/>
      <c r="B603" s="367"/>
      <c r="C603" s="368"/>
      <c r="D603" s="369"/>
      <c r="E603" s="368"/>
      <c r="F603" s="370"/>
      <c r="G603" s="368"/>
      <c r="H603" s="368"/>
      <c r="I603" s="368"/>
      <c r="J603" s="368"/>
      <c r="K603" s="368"/>
      <c r="L603" s="368"/>
      <c r="M603" s="368"/>
      <c r="N603" s="371"/>
      <c r="O603" s="391"/>
    </row>
    <row r="604" hidden="1">
      <c r="A604" s="391"/>
      <c r="B604" s="339"/>
      <c r="D604" s="339"/>
      <c r="F604" s="340"/>
      <c r="O604" s="391"/>
    </row>
    <row r="605" ht="9.0" hidden="1" customHeight="1">
      <c r="A605" s="399"/>
      <c r="B605" s="393"/>
      <c r="D605" s="394"/>
      <c r="E605" s="395"/>
      <c r="F605" s="396"/>
      <c r="G605" s="397"/>
      <c r="H605" s="391"/>
      <c r="I605" s="391"/>
      <c r="J605" s="397"/>
      <c r="K605" s="398"/>
      <c r="L605" s="395"/>
      <c r="M605" s="399"/>
      <c r="N605" s="393"/>
      <c r="O605" s="399"/>
    </row>
    <row r="606" hidden="1">
      <c r="A606" s="399"/>
      <c r="B606" s="341"/>
      <c r="C606" s="342"/>
      <c r="D606" s="343"/>
      <c r="E606" s="342"/>
      <c r="F606" s="344"/>
      <c r="G606" s="342"/>
      <c r="H606" s="342"/>
      <c r="I606" s="342"/>
      <c r="J606" s="342"/>
      <c r="K606" s="342"/>
      <c r="L606" s="342"/>
      <c r="M606" s="342"/>
      <c r="N606" s="345"/>
      <c r="O606" s="399"/>
    </row>
    <row r="607" hidden="1">
      <c r="A607" s="395"/>
      <c r="B607" s="346">
        <v>1.0</v>
      </c>
      <c r="D607" s="287" t="s">
        <v>171</v>
      </c>
      <c r="E607" s="347" t="s">
        <v>172</v>
      </c>
      <c r="F607" s="289" t="s">
        <v>253</v>
      </c>
      <c r="G607" s="290"/>
      <c r="J607" s="291"/>
      <c r="N607" s="348"/>
      <c r="O607" s="395"/>
    </row>
    <row r="608" hidden="1">
      <c r="A608" s="395"/>
      <c r="B608" s="346">
        <v>1.0</v>
      </c>
      <c r="C608" s="202" t="str">
        <f>E608&amp;F608</f>
        <v>Nick Name:Ha.Site</v>
      </c>
      <c r="D608" s="349" t="s">
        <v>173</v>
      </c>
      <c r="E608" s="347" t="s">
        <v>174</v>
      </c>
      <c r="F608" s="289" t="s">
        <v>254</v>
      </c>
      <c r="J608" s="291" t="s">
        <v>175</v>
      </c>
      <c r="L608" s="298" t="s">
        <v>200</v>
      </c>
      <c r="N608" s="348"/>
      <c r="O608" s="395"/>
    </row>
    <row r="609" hidden="1">
      <c r="A609" s="395"/>
      <c r="B609" s="346">
        <v>1.0</v>
      </c>
      <c r="C609" s="202" t="str">
        <f>E609&amp;F608</f>
        <v>Full Name:Ha.Site</v>
      </c>
      <c r="D609" s="349" t="s">
        <v>177</v>
      </c>
      <c r="E609" s="347" t="s">
        <v>178</v>
      </c>
      <c r="F609" s="289" t="s">
        <v>255</v>
      </c>
      <c r="J609" s="291" t="s">
        <v>179</v>
      </c>
      <c r="L609" s="298" t="s">
        <v>200</v>
      </c>
      <c r="N609" s="348"/>
      <c r="O609" s="395"/>
    </row>
    <row r="610" hidden="1">
      <c r="A610" s="398"/>
      <c r="B610" s="346">
        <v>1.0</v>
      </c>
      <c r="C610" s="202" t="str">
        <f>E610&amp;F608</f>
        <v>Position:Ha.Site</v>
      </c>
      <c r="D610" s="349" t="s">
        <v>181</v>
      </c>
      <c r="E610" s="347" t="s">
        <v>182</v>
      </c>
      <c r="F610" s="289" t="s">
        <v>256</v>
      </c>
      <c r="J610" s="291" t="s">
        <v>184</v>
      </c>
      <c r="L610" s="298" t="s">
        <v>200</v>
      </c>
      <c r="N610" s="348"/>
      <c r="O610" s="398"/>
    </row>
    <row r="611" hidden="1">
      <c r="A611" s="398"/>
      <c r="B611" s="346">
        <v>1.0</v>
      </c>
      <c r="C611" s="202" t="str">
        <f>E611&amp;F608</f>
        <v>Birth:Ha.Site</v>
      </c>
      <c r="D611" s="349" t="s">
        <v>185</v>
      </c>
      <c r="E611" s="347" t="s">
        <v>186</v>
      </c>
      <c r="F611" s="289"/>
      <c r="J611" s="351"/>
      <c r="K611" s="352"/>
      <c r="L611" s="352"/>
      <c r="M611" s="352"/>
      <c r="N611" s="348"/>
      <c r="O611" s="398"/>
    </row>
    <row r="612" hidden="1">
      <c r="A612" s="398"/>
      <c r="B612" s="346">
        <v>1.0</v>
      </c>
      <c r="C612" s="202" t="str">
        <f>E612&amp;F608</f>
        <v>Experience:Ha.Site</v>
      </c>
      <c r="D612" s="349" t="s">
        <v>188</v>
      </c>
      <c r="E612" s="347" t="s">
        <v>189</v>
      </c>
      <c r="F612" s="289"/>
      <c r="J612" s="318"/>
      <c r="K612" s="352"/>
      <c r="L612" s="352"/>
      <c r="M612" s="352"/>
      <c r="N612" s="348"/>
      <c r="O612" s="398"/>
    </row>
    <row r="613" hidden="1">
      <c r="A613" s="397"/>
      <c r="B613" s="346"/>
      <c r="C613" s="374" t="str">
        <f>E613&amp;F608</f>
        <v>Quote:Ha.Site</v>
      </c>
      <c r="D613" s="353" t="s">
        <v>191</v>
      </c>
      <c r="E613" s="354" t="s">
        <v>192</v>
      </c>
      <c r="F613" s="308"/>
      <c r="J613" s="318"/>
      <c r="K613" s="352"/>
      <c r="L613" s="352"/>
      <c r="M613" s="352"/>
      <c r="N613" s="348"/>
      <c r="O613" s="397"/>
    </row>
    <row r="614" hidden="1">
      <c r="A614" s="397"/>
      <c r="B614" s="346"/>
      <c r="J614" s="318"/>
      <c r="K614" s="352"/>
      <c r="L614" s="352"/>
      <c r="N614" s="348"/>
      <c r="O614" s="397"/>
    </row>
    <row r="615" hidden="1">
      <c r="A615" s="397"/>
      <c r="B615" s="356"/>
      <c r="G615" s="300" t="str">
        <f>If(H615&gt;=0,"🔴","💣")</f>
        <v>#N/A</v>
      </c>
      <c r="H615" s="309" t="str">
        <f>if(F608="...",0,vlookup(F608,Summary!$E:$V,18,false))</f>
        <v>#N/A</v>
      </c>
      <c r="J615" s="318"/>
      <c r="N615" s="348"/>
      <c r="O615" s="397"/>
    </row>
    <row r="616" hidden="1">
      <c r="A616" s="391"/>
      <c r="B616" s="356"/>
      <c r="C616" s="286" t="str">
        <f>G616&amp;F608</f>
        <v>❤️️Ha.Site</v>
      </c>
      <c r="D616" s="357"/>
      <c r="E616" s="358"/>
      <c r="F616" s="359"/>
      <c r="G616" s="351" t="s">
        <v>194</v>
      </c>
      <c r="H616" s="309" t="str">
        <f>sumif(L619:L632,"complete",K619:K632)-vlookup(F608,ADDSTORE!$M$3:$O$38,3,false)</f>
        <v>#N/A</v>
      </c>
      <c r="J616" s="360"/>
      <c r="K616" s="360"/>
      <c r="N616" s="348"/>
      <c r="O616" s="391"/>
    </row>
    <row r="617" hidden="1">
      <c r="A617" s="391"/>
      <c r="B617" s="317"/>
      <c r="C617" s="318"/>
      <c r="D617" s="361"/>
      <c r="E617" s="318"/>
      <c r="F617" s="362"/>
      <c r="G617" s="318"/>
      <c r="H617" s="318"/>
      <c r="I617" s="318"/>
      <c r="J617" s="318"/>
      <c r="K617" s="318"/>
      <c r="L617" s="363"/>
      <c r="M617" s="363"/>
      <c r="N617" s="348"/>
      <c r="O617" s="391"/>
    </row>
    <row r="618" hidden="1">
      <c r="A618" s="391"/>
      <c r="B618" s="317"/>
      <c r="C618" s="318"/>
      <c r="D618" s="319" t="s">
        <v>195</v>
      </c>
      <c r="E618" s="320"/>
      <c r="F618" s="320"/>
      <c r="G618" s="320"/>
      <c r="H618" s="320"/>
      <c r="I618" s="321" t="s">
        <v>196</v>
      </c>
      <c r="J618" s="322" t="s">
        <v>197</v>
      </c>
      <c r="K618" s="323" t="s">
        <v>198</v>
      </c>
      <c r="L618" s="322" t="s">
        <v>199</v>
      </c>
      <c r="N618" s="348"/>
      <c r="O618" s="391"/>
    </row>
    <row r="619" hidden="1">
      <c r="A619" s="399"/>
      <c r="B619" s="325" t="str">
        <f t="shared" ref="B619:B632" si="26">if(L619="complete","🏅",if(L619="fail","💢",))</f>
        <v/>
      </c>
      <c r="C619" s="180" t="str">
        <f>L619&amp;F608&amp;D619</f>
        <v>Ha.Site1</v>
      </c>
      <c r="D619" s="326">
        <v>1.0</v>
      </c>
      <c r="E619" s="327"/>
      <c r="F619" s="328"/>
      <c r="G619" s="328"/>
      <c r="H619" s="328"/>
      <c r="I619" s="329"/>
      <c r="J619" s="330"/>
      <c r="K619" s="365"/>
      <c r="L619" s="364"/>
      <c r="N619" s="348"/>
      <c r="O619" s="399"/>
    </row>
    <row r="620" hidden="1">
      <c r="A620" s="399"/>
      <c r="B620" s="325" t="str">
        <f t="shared" si="26"/>
        <v/>
      </c>
      <c r="C620" s="180" t="str">
        <f>L620&amp;F608&amp;D620</f>
        <v>Ha.Site2</v>
      </c>
      <c r="D620" s="326">
        <v>2.0</v>
      </c>
      <c r="E620" s="327"/>
      <c r="F620" s="328"/>
      <c r="G620" s="328"/>
      <c r="H620" s="328"/>
      <c r="I620" s="329"/>
      <c r="J620" s="330"/>
      <c r="K620" s="366"/>
      <c r="L620" s="364"/>
      <c r="N620" s="348"/>
      <c r="O620" s="399"/>
    </row>
    <row r="621" hidden="1">
      <c r="A621" s="395"/>
      <c r="B621" s="325" t="str">
        <f t="shared" si="26"/>
        <v/>
      </c>
      <c r="C621" s="180" t="str">
        <f>L621&amp;F608&amp;D621</f>
        <v>Ha.Site3</v>
      </c>
      <c r="D621" s="326">
        <v>3.0</v>
      </c>
      <c r="E621" s="327"/>
      <c r="F621" s="328"/>
      <c r="G621" s="328"/>
      <c r="H621" s="328"/>
      <c r="I621" s="329"/>
      <c r="J621" s="330"/>
      <c r="K621" s="366"/>
      <c r="L621" s="364"/>
      <c r="N621" s="348"/>
      <c r="O621" s="395"/>
    </row>
    <row r="622" hidden="1">
      <c r="A622" s="395"/>
      <c r="B622" s="325" t="str">
        <f t="shared" si="26"/>
        <v/>
      </c>
      <c r="C622" s="180" t="str">
        <f>L622&amp;F608&amp;D622</f>
        <v>Ha.Site4</v>
      </c>
      <c r="D622" s="326">
        <v>4.0</v>
      </c>
      <c r="E622" s="327"/>
      <c r="F622" s="328"/>
      <c r="G622" s="328"/>
      <c r="H622" s="328"/>
      <c r="I622" s="329"/>
      <c r="J622" s="330"/>
      <c r="K622" s="365"/>
      <c r="L622" s="364"/>
      <c r="N622" s="348"/>
      <c r="O622" s="395"/>
    </row>
    <row r="623" hidden="1">
      <c r="A623" s="395"/>
      <c r="B623" s="325" t="str">
        <f t="shared" si="26"/>
        <v/>
      </c>
      <c r="C623" s="180" t="str">
        <f>L623&amp;F608&amp;D623</f>
        <v>Ha.Site5</v>
      </c>
      <c r="D623" s="326">
        <v>5.0</v>
      </c>
      <c r="E623" s="327"/>
      <c r="F623" s="328"/>
      <c r="G623" s="328"/>
      <c r="H623" s="328"/>
      <c r="I623" s="329"/>
      <c r="J623" s="330"/>
      <c r="K623" s="366"/>
      <c r="L623" s="330"/>
      <c r="N623" s="348"/>
      <c r="O623" s="395"/>
    </row>
    <row r="624" hidden="1">
      <c r="A624" s="398"/>
      <c r="B624" s="325" t="str">
        <f t="shared" si="26"/>
        <v/>
      </c>
      <c r="C624" s="180" t="str">
        <f>L624&amp;F608&amp;D624</f>
        <v>Ha.Site6</v>
      </c>
      <c r="D624" s="326">
        <v>6.0</v>
      </c>
      <c r="E624" s="327"/>
      <c r="F624" s="328"/>
      <c r="G624" s="328"/>
      <c r="H624" s="328"/>
      <c r="I624" s="329"/>
      <c r="J624" s="330"/>
      <c r="K624" s="366"/>
      <c r="L624" s="330"/>
      <c r="N624" s="348"/>
      <c r="O624" s="398"/>
    </row>
    <row r="625" hidden="1">
      <c r="A625" s="398"/>
      <c r="B625" s="325" t="str">
        <f t="shared" si="26"/>
        <v/>
      </c>
      <c r="C625" s="180" t="str">
        <f>L625&amp;F608&amp;D625</f>
        <v>Ha.Site7</v>
      </c>
      <c r="D625" s="326">
        <v>7.0</v>
      </c>
      <c r="E625" s="327"/>
      <c r="F625" s="328"/>
      <c r="G625" s="328"/>
      <c r="H625" s="328"/>
      <c r="I625" s="329"/>
      <c r="J625" s="330"/>
      <c r="K625" s="366"/>
      <c r="L625" s="330"/>
      <c r="N625" s="348"/>
      <c r="O625" s="398"/>
    </row>
    <row r="626" hidden="1">
      <c r="A626" s="398"/>
      <c r="B626" s="325" t="str">
        <f t="shared" si="26"/>
        <v/>
      </c>
      <c r="C626" s="180" t="str">
        <f>L626&amp;F608&amp;D626</f>
        <v>Ha.Site8</v>
      </c>
      <c r="D626" s="326">
        <v>8.0</v>
      </c>
      <c r="E626" s="327"/>
      <c r="F626" s="328"/>
      <c r="G626" s="328"/>
      <c r="H626" s="328"/>
      <c r="I626" s="329"/>
      <c r="J626" s="330"/>
      <c r="K626" s="366"/>
      <c r="L626" s="330"/>
      <c r="N626" s="348"/>
      <c r="O626" s="398"/>
    </row>
    <row r="627" hidden="1">
      <c r="A627" s="397"/>
      <c r="B627" s="325" t="str">
        <f t="shared" si="26"/>
        <v/>
      </c>
      <c r="C627" s="180" t="str">
        <f>L627&amp;F608&amp;D627</f>
        <v>Ha.Site9</v>
      </c>
      <c r="D627" s="326">
        <v>9.0</v>
      </c>
      <c r="E627" s="327"/>
      <c r="F627" s="328"/>
      <c r="G627" s="328"/>
      <c r="H627" s="328"/>
      <c r="I627" s="329"/>
      <c r="J627" s="330"/>
      <c r="K627" s="366"/>
      <c r="L627" s="330"/>
      <c r="N627" s="348"/>
      <c r="O627" s="397"/>
    </row>
    <row r="628" hidden="1">
      <c r="A628" s="397"/>
      <c r="B628" s="325" t="str">
        <f t="shared" si="26"/>
        <v/>
      </c>
      <c r="C628" s="180" t="str">
        <f>L628&amp;F608&amp;D628</f>
        <v>Ha.Site10</v>
      </c>
      <c r="D628" s="326">
        <v>10.0</v>
      </c>
      <c r="E628" s="327"/>
      <c r="F628" s="328"/>
      <c r="G628" s="328"/>
      <c r="H628" s="328"/>
      <c r="I628" s="329"/>
      <c r="J628" s="330"/>
      <c r="K628" s="366"/>
      <c r="L628" s="330"/>
      <c r="N628" s="348"/>
      <c r="O628" s="397"/>
    </row>
    <row r="629" hidden="1">
      <c r="A629" s="397"/>
      <c r="B629" s="325" t="str">
        <f t="shared" si="26"/>
        <v/>
      </c>
      <c r="C629" s="180" t="str">
        <f>L629&amp;F608&amp;D629</f>
        <v>Ha.Site11</v>
      </c>
      <c r="D629" s="326">
        <v>11.0</v>
      </c>
      <c r="E629" s="327"/>
      <c r="F629" s="328"/>
      <c r="G629" s="328"/>
      <c r="H629" s="328"/>
      <c r="I629" s="329"/>
      <c r="J629" s="330"/>
      <c r="K629" s="366"/>
      <c r="L629" s="330"/>
      <c r="N629" s="348"/>
      <c r="O629" s="397"/>
    </row>
    <row r="630" hidden="1">
      <c r="A630" s="391"/>
      <c r="B630" s="325" t="str">
        <f t="shared" si="26"/>
        <v/>
      </c>
      <c r="C630" s="180" t="str">
        <f>L630&amp;F608&amp;D630</f>
        <v>Ha.Site12</v>
      </c>
      <c r="D630" s="326">
        <v>12.0</v>
      </c>
      <c r="E630" s="327"/>
      <c r="F630" s="328"/>
      <c r="G630" s="328"/>
      <c r="H630" s="328"/>
      <c r="I630" s="329"/>
      <c r="J630" s="330"/>
      <c r="K630" s="366"/>
      <c r="L630" s="330"/>
      <c r="N630" s="348"/>
      <c r="O630" s="391"/>
    </row>
    <row r="631" hidden="1">
      <c r="A631" s="391"/>
      <c r="B631" s="325" t="str">
        <f t="shared" si="26"/>
        <v/>
      </c>
      <c r="C631" s="180" t="str">
        <f>L631&amp;F608&amp;D631</f>
        <v>Ha.Site13</v>
      </c>
      <c r="D631" s="326">
        <v>13.0</v>
      </c>
      <c r="E631" s="327"/>
      <c r="F631" s="328"/>
      <c r="G631" s="328"/>
      <c r="H631" s="328"/>
      <c r="I631" s="329"/>
      <c r="J631" s="330"/>
      <c r="K631" s="366"/>
      <c r="L631" s="330"/>
      <c r="N631" s="348"/>
      <c r="O631" s="391"/>
    </row>
    <row r="632" hidden="1">
      <c r="A632" s="391"/>
      <c r="B632" s="325" t="str">
        <f t="shared" si="26"/>
        <v/>
      </c>
      <c r="C632" s="180" t="str">
        <f>L632&amp;F608&amp;D632</f>
        <v>Ha.Site14</v>
      </c>
      <c r="D632" s="326">
        <v>14.0</v>
      </c>
      <c r="E632" s="327"/>
      <c r="F632" s="328"/>
      <c r="G632" s="328"/>
      <c r="H632" s="328"/>
      <c r="I632" s="329"/>
      <c r="J632" s="330"/>
      <c r="K632" s="366"/>
      <c r="L632" s="330"/>
      <c r="N632" s="348"/>
      <c r="O632" s="391"/>
    </row>
    <row r="633" hidden="1">
      <c r="A633" s="391"/>
      <c r="B633" s="367"/>
      <c r="C633" s="368"/>
      <c r="D633" s="369"/>
      <c r="E633" s="368"/>
      <c r="F633" s="370"/>
      <c r="G633" s="368"/>
      <c r="H633" s="368"/>
      <c r="I633" s="368"/>
      <c r="J633" s="368"/>
      <c r="K633" s="368"/>
      <c r="L633" s="368"/>
      <c r="M633" s="368"/>
      <c r="N633" s="371"/>
      <c r="O633" s="391"/>
    </row>
    <row r="634" hidden="1">
      <c r="A634" s="391"/>
      <c r="B634" s="339"/>
      <c r="D634" s="339"/>
      <c r="F634" s="340"/>
      <c r="O634" s="391"/>
    </row>
    <row r="635" ht="9.0" customHeight="1">
      <c r="A635" s="382"/>
      <c r="B635" s="383"/>
      <c r="C635" s="384"/>
      <c r="D635" s="385"/>
      <c r="E635" s="271"/>
      <c r="F635" s="386"/>
      <c r="G635" s="263"/>
      <c r="H635" s="83"/>
      <c r="I635" s="263"/>
      <c r="J635" s="266"/>
      <c r="K635" s="271"/>
      <c r="L635" s="382"/>
      <c r="M635" s="382"/>
      <c r="N635" s="382"/>
      <c r="O635" s="382"/>
    </row>
    <row r="636">
      <c r="A636" s="382"/>
      <c r="B636" s="341"/>
      <c r="C636" s="342"/>
      <c r="D636" s="343"/>
      <c r="E636" s="342"/>
      <c r="F636" s="344"/>
      <c r="G636" s="342"/>
      <c r="H636" s="342"/>
      <c r="I636" s="342"/>
      <c r="J636" s="342"/>
      <c r="K636" s="342"/>
      <c r="L636" s="342"/>
      <c r="M636" s="342"/>
      <c r="N636" s="345"/>
      <c r="O636" s="382"/>
    </row>
    <row r="637">
      <c r="A637" s="271"/>
      <c r="B637" s="346">
        <v>1.0</v>
      </c>
      <c r="D637" s="287" t="s">
        <v>171</v>
      </c>
      <c r="E637" s="347" t="s">
        <v>172</v>
      </c>
      <c r="F637" s="289" t="s">
        <v>115</v>
      </c>
      <c r="G637" s="290"/>
      <c r="J637" s="291"/>
      <c r="N637" s="348"/>
      <c r="O637" s="271"/>
    </row>
    <row r="638">
      <c r="A638" s="271"/>
      <c r="B638" s="346">
        <v>1.0</v>
      </c>
      <c r="C638" s="202" t="str">
        <f>E638&amp;F638</f>
        <v>Nick Name:Hong.300</v>
      </c>
      <c r="D638" s="349" t="s">
        <v>173</v>
      </c>
      <c r="E638" s="347" t="s">
        <v>174</v>
      </c>
      <c r="F638" s="289" t="s">
        <v>24</v>
      </c>
      <c r="J638" s="291" t="s">
        <v>175</v>
      </c>
      <c r="L638" s="352" t="s">
        <v>257</v>
      </c>
      <c r="N638" s="348"/>
      <c r="O638" s="271"/>
    </row>
    <row r="639">
      <c r="A639" s="271"/>
      <c r="B639" s="346">
        <v>1.0</v>
      </c>
      <c r="C639" s="202" t="str">
        <f>E639&amp;F638</f>
        <v>Full Name:Hong.300</v>
      </c>
      <c r="D639" s="349" t="s">
        <v>177</v>
      </c>
      <c r="E639" s="347" t="s">
        <v>178</v>
      </c>
      <c r="F639" s="289" t="s">
        <v>258</v>
      </c>
      <c r="N639" s="348"/>
      <c r="O639" s="271"/>
    </row>
    <row r="640">
      <c r="A640" s="266"/>
      <c r="B640" s="346">
        <v>1.0</v>
      </c>
      <c r="C640" s="202" t="str">
        <f>E640&amp;F638</f>
        <v>Position:Hong.300</v>
      </c>
      <c r="D640" s="349" t="s">
        <v>181</v>
      </c>
      <c r="E640" s="347" t="s">
        <v>182</v>
      </c>
      <c r="F640" s="289" t="s">
        <v>257</v>
      </c>
      <c r="J640" s="291" t="s">
        <v>179</v>
      </c>
      <c r="L640" s="298" t="s">
        <v>200</v>
      </c>
      <c r="N640" s="348"/>
      <c r="O640" s="266"/>
    </row>
    <row r="641">
      <c r="A641" s="266"/>
      <c r="B641" s="346">
        <v>1.0</v>
      </c>
      <c r="C641" s="202" t="str">
        <f>E641&amp;F638</f>
        <v>Birth:Hong.300</v>
      </c>
      <c r="D641" s="349" t="s">
        <v>185</v>
      </c>
      <c r="E641" s="347" t="s">
        <v>186</v>
      </c>
      <c r="F641" s="289"/>
      <c r="J641" s="291" t="s">
        <v>184</v>
      </c>
      <c r="L641" s="403">
        <v>44844.0</v>
      </c>
      <c r="M641" s="352"/>
      <c r="N641" s="348"/>
      <c r="O641" s="266"/>
    </row>
    <row r="642">
      <c r="A642" s="266"/>
      <c r="B642" s="346">
        <v>1.0</v>
      </c>
      <c r="C642" s="202" t="str">
        <f>E642&amp;F638</f>
        <v>Experience:Hong.300</v>
      </c>
      <c r="D642" s="349" t="s">
        <v>188</v>
      </c>
      <c r="E642" s="347" t="s">
        <v>189</v>
      </c>
      <c r="F642" s="289"/>
      <c r="J642" s="318"/>
      <c r="K642" s="352"/>
      <c r="L642" s="352"/>
      <c r="M642" s="352"/>
      <c r="N642" s="348"/>
      <c r="O642" s="266"/>
    </row>
    <row r="643">
      <c r="A643" s="263"/>
      <c r="B643" s="346"/>
      <c r="C643" s="374" t="str">
        <f>E643&amp;F638</f>
        <v>Quote:Hong.300</v>
      </c>
      <c r="D643" s="353" t="s">
        <v>191</v>
      </c>
      <c r="E643" s="354" t="s">
        <v>192</v>
      </c>
      <c r="F643" s="308" t="s">
        <v>259</v>
      </c>
      <c r="J643" s="318"/>
      <c r="K643" s="352"/>
      <c r="L643" s="352"/>
      <c r="M643" s="352"/>
      <c r="N643" s="348"/>
      <c r="O643" s="263"/>
    </row>
    <row r="644">
      <c r="A644" s="263"/>
      <c r="B644" s="346"/>
      <c r="J644" s="318"/>
      <c r="K644" s="352"/>
      <c r="L644" s="352"/>
      <c r="N644" s="348"/>
      <c r="O644" s="263"/>
    </row>
    <row r="645">
      <c r="A645" s="263"/>
      <c r="B645" s="356"/>
      <c r="G645" s="300" t="str">
        <f>If(H645&gt;=0,"🔴","💣")</f>
        <v>🔴</v>
      </c>
      <c r="H645" s="309">
        <f>if(F638="...",0,vlookup(F638,Summary!$E:$V,18,false))</f>
        <v>0</v>
      </c>
      <c r="J645" s="318"/>
      <c r="N645" s="348"/>
      <c r="O645" s="263"/>
    </row>
    <row r="646">
      <c r="A646" s="83"/>
      <c r="B646" s="356"/>
      <c r="C646" s="286" t="str">
        <f>G646&amp;F638</f>
        <v>❤️️Hong.300</v>
      </c>
      <c r="D646" s="357"/>
      <c r="E646" s="358"/>
      <c r="F646" s="359"/>
      <c r="G646" s="351" t="s">
        <v>194</v>
      </c>
      <c r="H646" s="309">
        <f>sumif(L649:L662,"complete",K649:K662)-vlookup(F638,ADDSTORE!$M$3:$O$38,3,false)</f>
        <v>0</v>
      </c>
      <c r="J646" s="360"/>
      <c r="K646" s="360"/>
      <c r="N646" s="348"/>
      <c r="O646" s="83"/>
    </row>
    <row r="647">
      <c r="A647" s="83"/>
      <c r="B647" s="317"/>
      <c r="C647" s="318"/>
      <c r="D647" s="361"/>
      <c r="E647" s="318"/>
      <c r="F647" s="362"/>
      <c r="G647" s="318"/>
      <c r="H647" s="318"/>
      <c r="I647" s="318"/>
      <c r="J647" s="318"/>
      <c r="K647" s="318"/>
      <c r="L647" s="363"/>
      <c r="M647" s="363"/>
      <c r="N647" s="348"/>
      <c r="O647" s="83"/>
    </row>
    <row r="648">
      <c r="A648" s="83"/>
      <c r="B648" s="317"/>
      <c r="C648" s="318"/>
      <c r="D648" s="319" t="s">
        <v>195</v>
      </c>
      <c r="E648" s="320"/>
      <c r="F648" s="320"/>
      <c r="G648" s="320"/>
      <c r="H648" s="320"/>
      <c r="I648" s="321" t="s">
        <v>196</v>
      </c>
      <c r="J648" s="322" t="s">
        <v>197</v>
      </c>
      <c r="K648" s="323" t="s">
        <v>198</v>
      </c>
      <c r="L648" s="322" t="s">
        <v>199</v>
      </c>
      <c r="N648" s="348"/>
      <c r="O648" s="83"/>
    </row>
    <row r="649">
      <c r="A649" s="382"/>
      <c r="B649" s="325" t="str">
        <f t="shared" ref="B649:B662" si="27">if(L649="complete","🏅",if(L649="fail","💢",))</f>
        <v/>
      </c>
      <c r="C649" s="180" t="str">
        <f>L649&amp;F638&amp;D649</f>
        <v>Hong.3001</v>
      </c>
      <c r="D649" s="326">
        <v>1.0</v>
      </c>
      <c r="E649" s="327"/>
      <c r="F649" s="328"/>
      <c r="G649" s="328"/>
      <c r="H649" s="328"/>
      <c r="I649" s="329"/>
      <c r="J649" s="364" t="s">
        <v>260</v>
      </c>
      <c r="K649" s="365"/>
      <c r="L649" s="364"/>
      <c r="N649" s="348"/>
      <c r="O649" s="382"/>
    </row>
    <row r="650">
      <c r="A650" s="382"/>
      <c r="B650" s="325" t="str">
        <f t="shared" si="27"/>
        <v/>
      </c>
      <c r="C650" s="180" t="str">
        <f>L650&amp;F638&amp;D650</f>
        <v>Hong.3002</v>
      </c>
      <c r="D650" s="326">
        <v>2.0</v>
      </c>
      <c r="E650" s="327"/>
      <c r="F650" s="328"/>
      <c r="G650" s="328"/>
      <c r="H650" s="328"/>
      <c r="I650" s="329"/>
      <c r="J650" s="330"/>
      <c r="K650" s="366"/>
      <c r="L650" s="364"/>
      <c r="N650" s="348"/>
      <c r="O650" s="382"/>
    </row>
    <row r="651">
      <c r="A651" s="271"/>
      <c r="B651" s="325" t="str">
        <f t="shared" si="27"/>
        <v/>
      </c>
      <c r="C651" s="180" t="str">
        <f>L651&amp;F638&amp;D651</f>
        <v>Hong.3003</v>
      </c>
      <c r="D651" s="326">
        <v>3.0</v>
      </c>
      <c r="E651" s="327"/>
      <c r="F651" s="328"/>
      <c r="G651" s="328"/>
      <c r="H651" s="328"/>
      <c r="I651" s="329"/>
      <c r="J651" s="330"/>
      <c r="K651" s="366"/>
      <c r="L651" s="364"/>
      <c r="N651" s="348"/>
      <c r="O651" s="271"/>
    </row>
    <row r="652">
      <c r="A652" s="271"/>
      <c r="B652" s="325" t="str">
        <f t="shared" si="27"/>
        <v/>
      </c>
      <c r="C652" s="180" t="str">
        <f>L652&amp;F638&amp;D652</f>
        <v>Hong.3004</v>
      </c>
      <c r="D652" s="326">
        <v>4.0</v>
      </c>
      <c r="E652" s="327"/>
      <c r="F652" s="328"/>
      <c r="G652" s="328"/>
      <c r="H652" s="328"/>
      <c r="I652" s="329"/>
      <c r="J652" s="330"/>
      <c r="K652" s="365"/>
      <c r="L652" s="364"/>
      <c r="N652" s="348"/>
      <c r="O652" s="271"/>
    </row>
    <row r="653">
      <c r="A653" s="271"/>
      <c r="B653" s="325" t="str">
        <f t="shared" si="27"/>
        <v/>
      </c>
      <c r="C653" s="180" t="str">
        <f>L653&amp;F638&amp;D653</f>
        <v>Hong.3005</v>
      </c>
      <c r="D653" s="326">
        <v>5.0</v>
      </c>
      <c r="E653" s="327"/>
      <c r="F653" s="328"/>
      <c r="G653" s="328"/>
      <c r="H653" s="328"/>
      <c r="I653" s="329"/>
      <c r="J653" s="330"/>
      <c r="K653" s="366"/>
      <c r="L653" s="330"/>
      <c r="N653" s="348"/>
      <c r="O653" s="271"/>
    </row>
    <row r="654">
      <c r="A654" s="266"/>
      <c r="B654" s="325" t="str">
        <f t="shared" si="27"/>
        <v/>
      </c>
      <c r="C654" s="180" t="str">
        <f>L654&amp;F638&amp;D654</f>
        <v>Hong.3006</v>
      </c>
      <c r="D654" s="326">
        <v>6.0</v>
      </c>
      <c r="E654" s="327"/>
      <c r="F654" s="328"/>
      <c r="G654" s="328"/>
      <c r="H654" s="328"/>
      <c r="I654" s="329"/>
      <c r="J654" s="330"/>
      <c r="K654" s="366"/>
      <c r="L654" s="330"/>
      <c r="N654" s="348"/>
      <c r="O654" s="266"/>
    </row>
    <row r="655">
      <c r="A655" s="266"/>
      <c r="B655" s="325" t="str">
        <f t="shared" si="27"/>
        <v/>
      </c>
      <c r="C655" s="180" t="str">
        <f>L655&amp;F638&amp;D655</f>
        <v>Hong.3007</v>
      </c>
      <c r="D655" s="326">
        <v>7.0</v>
      </c>
      <c r="E655" s="327"/>
      <c r="F655" s="328"/>
      <c r="G655" s="328"/>
      <c r="H655" s="328"/>
      <c r="I655" s="329"/>
      <c r="J655" s="330"/>
      <c r="K655" s="366"/>
      <c r="L655" s="330"/>
      <c r="N655" s="348"/>
      <c r="O655" s="266"/>
    </row>
    <row r="656">
      <c r="A656" s="266"/>
      <c r="B656" s="325" t="str">
        <f t="shared" si="27"/>
        <v/>
      </c>
      <c r="C656" s="180" t="str">
        <f>L656&amp;F638&amp;D656</f>
        <v>Hong.3008</v>
      </c>
      <c r="D656" s="326">
        <v>8.0</v>
      </c>
      <c r="E656" s="327"/>
      <c r="F656" s="328"/>
      <c r="G656" s="328"/>
      <c r="H656" s="328"/>
      <c r="I656" s="329"/>
      <c r="J656" s="330"/>
      <c r="K656" s="366"/>
      <c r="L656" s="330"/>
      <c r="N656" s="348"/>
      <c r="O656" s="266"/>
    </row>
    <row r="657">
      <c r="A657" s="263"/>
      <c r="B657" s="325" t="str">
        <f t="shared" si="27"/>
        <v/>
      </c>
      <c r="C657" s="180" t="str">
        <f>L657&amp;F638&amp;D657</f>
        <v>Hong.3009</v>
      </c>
      <c r="D657" s="326">
        <v>9.0</v>
      </c>
      <c r="E657" s="327"/>
      <c r="F657" s="328"/>
      <c r="G657" s="328"/>
      <c r="H657" s="328"/>
      <c r="I657" s="329"/>
      <c r="J657" s="330"/>
      <c r="K657" s="366"/>
      <c r="L657" s="330"/>
      <c r="N657" s="348"/>
      <c r="O657" s="263"/>
    </row>
    <row r="658">
      <c r="A658" s="263"/>
      <c r="B658" s="325" t="str">
        <f t="shared" si="27"/>
        <v/>
      </c>
      <c r="C658" s="180" t="str">
        <f>L658&amp;F638&amp;D658</f>
        <v>Hong.30010</v>
      </c>
      <c r="D658" s="326">
        <v>10.0</v>
      </c>
      <c r="E658" s="327"/>
      <c r="F658" s="328"/>
      <c r="G658" s="328"/>
      <c r="H658" s="328"/>
      <c r="I658" s="329"/>
      <c r="J658" s="330"/>
      <c r="K658" s="366"/>
      <c r="L658" s="330"/>
      <c r="N658" s="348"/>
      <c r="O658" s="263"/>
    </row>
    <row r="659">
      <c r="A659" s="263"/>
      <c r="B659" s="325" t="str">
        <f t="shared" si="27"/>
        <v/>
      </c>
      <c r="C659" s="180" t="str">
        <f>L659&amp;F638&amp;D659</f>
        <v>Hong.30011</v>
      </c>
      <c r="D659" s="326">
        <v>11.0</v>
      </c>
      <c r="E659" s="327"/>
      <c r="F659" s="328"/>
      <c r="G659" s="328"/>
      <c r="H659" s="328"/>
      <c r="I659" s="329"/>
      <c r="J659" s="330"/>
      <c r="K659" s="366"/>
      <c r="L659" s="330"/>
      <c r="N659" s="348"/>
      <c r="O659" s="263"/>
    </row>
    <row r="660">
      <c r="A660" s="83"/>
      <c r="B660" s="325" t="str">
        <f t="shared" si="27"/>
        <v/>
      </c>
      <c r="C660" s="180" t="str">
        <f>L660&amp;F638&amp;D660</f>
        <v>Hong.30012</v>
      </c>
      <c r="D660" s="326">
        <v>12.0</v>
      </c>
      <c r="E660" s="327"/>
      <c r="F660" s="328"/>
      <c r="G660" s="328"/>
      <c r="H660" s="328"/>
      <c r="I660" s="329"/>
      <c r="J660" s="330"/>
      <c r="K660" s="366"/>
      <c r="L660" s="330"/>
      <c r="N660" s="348"/>
      <c r="O660" s="83"/>
    </row>
    <row r="661">
      <c r="A661" s="83"/>
      <c r="B661" s="325" t="str">
        <f t="shared" si="27"/>
        <v/>
      </c>
      <c r="C661" s="180" t="str">
        <f>L661&amp;F638&amp;D661</f>
        <v>Hong.30013</v>
      </c>
      <c r="D661" s="326">
        <v>13.0</v>
      </c>
      <c r="E661" s="327"/>
      <c r="F661" s="328"/>
      <c r="G661" s="328"/>
      <c r="H661" s="328"/>
      <c r="I661" s="329"/>
      <c r="J661" s="330"/>
      <c r="K661" s="366"/>
      <c r="L661" s="330"/>
      <c r="N661" s="348"/>
      <c r="O661" s="83"/>
    </row>
    <row r="662">
      <c r="A662" s="83"/>
      <c r="B662" s="325" t="str">
        <f t="shared" si="27"/>
        <v/>
      </c>
      <c r="C662" s="180" t="str">
        <f>L662&amp;F638&amp;D662</f>
        <v>Hong.30014</v>
      </c>
      <c r="D662" s="326">
        <v>14.0</v>
      </c>
      <c r="E662" s="327"/>
      <c r="F662" s="328"/>
      <c r="G662" s="328"/>
      <c r="H662" s="328"/>
      <c r="I662" s="329"/>
      <c r="J662" s="330"/>
      <c r="K662" s="366"/>
      <c r="L662" s="330"/>
      <c r="N662" s="348"/>
      <c r="O662" s="83"/>
    </row>
    <row r="663">
      <c r="A663" s="83"/>
      <c r="B663" s="367"/>
      <c r="C663" s="368"/>
      <c r="D663" s="369"/>
      <c r="E663" s="368"/>
      <c r="F663" s="370"/>
      <c r="G663" s="368"/>
      <c r="H663" s="368"/>
      <c r="I663" s="368"/>
      <c r="J663" s="368"/>
      <c r="K663" s="368"/>
      <c r="L663" s="368"/>
      <c r="M663" s="368"/>
      <c r="N663" s="371"/>
      <c r="O663" s="83"/>
    </row>
    <row r="664">
      <c r="A664" s="83"/>
      <c r="B664" s="339"/>
      <c r="D664" s="339"/>
      <c r="F664" s="340"/>
      <c r="O664" s="83"/>
    </row>
    <row r="665" ht="9.75" customHeight="1">
      <c r="A665" s="382"/>
      <c r="B665" s="383"/>
      <c r="C665" s="384"/>
      <c r="D665" s="385"/>
      <c r="E665" s="271"/>
      <c r="F665" s="386"/>
      <c r="G665" s="263"/>
      <c r="H665" s="83"/>
      <c r="I665" s="263"/>
      <c r="J665" s="266"/>
      <c r="K665" s="271"/>
      <c r="L665" s="382"/>
      <c r="M665" s="382"/>
      <c r="N665" s="382"/>
      <c r="O665" s="382"/>
    </row>
    <row r="666">
      <c r="A666" s="382"/>
      <c r="B666" s="341"/>
      <c r="C666" s="342"/>
      <c r="D666" s="343"/>
      <c r="E666" s="342"/>
      <c r="F666" s="344"/>
      <c r="G666" s="342"/>
      <c r="H666" s="342"/>
      <c r="I666" s="342"/>
      <c r="J666" s="342"/>
      <c r="K666" s="342"/>
      <c r="L666" s="342"/>
      <c r="M666" s="342"/>
      <c r="N666" s="345"/>
      <c r="O666" s="382"/>
    </row>
    <row r="667">
      <c r="A667" s="271"/>
      <c r="B667" s="346">
        <v>1.0</v>
      </c>
      <c r="D667" s="287" t="s">
        <v>171</v>
      </c>
      <c r="E667" s="347" t="s">
        <v>172</v>
      </c>
      <c r="F667" s="289" t="s">
        <v>261</v>
      </c>
      <c r="G667" s="290"/>
      <c r="J667" s="291"/>
      <c r="N667" s="348"/>
      <c r="O667" s="271"/>
    </row>
    <row r="668">
      <c r="A668" s="271"/>
      <c r="B668" s="346">
        <v>1.0</v>
      </c>
      <c r="C668" s="202" t="str">
        <f>E668&amp;F668</f>
        <v>Nick Name:Ngat.500</v>
      </c>
      <c r="D668" s="349" t="s">
        <v>173</v>
      </c>
      <c r="E668" s="347" t="s">
        <v>174</v>
      </c>
      <c r="F668" s="289" t="s">
        <v>262</v>
      </c>
      <c r="J668" s="291" t="s">
        <v>175</v>
      </c>
      <c r="L668" s="298" t="s">
        <v>200</v>
      </c>
      <c r="N668" s="348"/>
      <c r="O668" s="271"/>
    </row>
    <row r="669">
      <c r="A669" s="271"/>
      <c r="B669" s="346">
        <v>1.0</v>
      </c>
      <c r="C669" s="202" t="str">
        <f>E669&amp;F668</f>
        <v>Full Name:Ngat.500</v>
      </c>
      <c r="D669" s="349" t="s">
        <v>177</v>
      </c>
      <c r="E669" s="347" t="s">
        <v>178</v>
      </c>
      <c r="F669" s="388" t="s">
        <v>263</v>
      </c>
      <c r="J669" s="291" t="s">
        <v>179</v>
      </c>
      <c r="L669" s="298" t="s">
        <v>200</v>
      </c>
      <c r="N669" s="348"/>
      <c r="O669" s="271"/>
    </row>
    <row r="670">
      <c r="A670" s="266"/>
      <c r="B670" s="346">
        <v>1.0</v>
      </c>
      <c r="C670" s="202" t="str">
        <f>E670&amp;F668</f>
        <v>Position:Ngat.500</v>
      </c>
      <c r="D670" s="349" t="s">
        <v>181</v>
      </c>
      <c r="E670" s="347" t="s">
        <v>182</v>
      </c>
      <c r="F670" s="289" t="s">
        <v>208</v>
      </c>
      <c r="J670" s="291" t="s">
        <v>184</v>
      </c>
      <c r="L670" s="298" t="s">
        <v>200</v>
      </c>
      <c r="N670" s="348"/>
      <c r="O670" s="266"/>
    </row>
    <row r="671">
      <c r="A671" s="266"/>
      <c r="B671" s="346">
        <v>1.0</v>
      </c>
      <c r="C671" s="202" t="str">
        <f>E671&amp;F668</f>
        <v>Birth:Ngat.500</v>
      </c>
      <c r="D671" s="349" t="s">
        <v>185</v>
      </c>
      <c r="E671" s="347" t="s">
        <v>186</v>
      </c>
      <c r="F671" s="372">
        <v>33155.0</v>
      </c>
      <c r="J671" s="351"/>
      <c r="K671" s="352"/>
      <c r="L671" s="352"/>
      <c r="M671" s="352"/>
      <c r="N671" s="348"/>
      <c r="O671" s="266"/>
    </row>
    <row r="672">
      <c r="A672" s="266"/>
      <c r="B672" s="346">
        <v>1.0</v>
      </c>
      <c r="C672" s="202" t="str">
        <f>E672&amp;F668</f>
        <v>Experience:Ngat.500</v>
      </c>
      <c r="D672" s="349" t="s">
        <v>188</v>
      </c>
      <c r="E672" s="347" t="s">
        <v>189</v>
      </c>
      <c r="F672" s="289" t="s">
        <v>264</v>
      </c>
      <c r="J672" s="318"/>
      <c r="K672" s="352"/>
      <c r="L672" s="352"/>
      <c r="M672" s="352"/>
      <c r="N672" s="348"/>
      <c r="O672" s="266"/>
    </row>
    <row r="673">
      <c r="A673" s="263"/>
      <c r="B673" s="346"/>
      <c r="C673" s="374" t="str">
        <f>E673&amp;F668</f>
        <v>Quote:Ngat.500</v>
      </c>
      <c r="D673" s="353" t="s">
        <v>191</v>
      </c>
      <c r="E673" s="354" t="s">
        <v>192</v>
      </c>
      <c r="F673" s="308" t="s">
        <v>200</v>
      </c>
      <c r="J673" s="318"/>
      <c r="K673" s="352"/>
      <c r="L673" s="352"/>
      <c r="M673" s="352"/>
      <c r="N673" s="348"/>
      <c r="O673" s="263"/>
    </row>
    <row r="674">
      <c r="A674" s="263"/>
      <c r="B674" s="346"/>
      <c r="J674" s="318"/>
      <c r="K674" s="352"/>
      <c r="L674" s="352"/>
      <c r="N674" s="348"/>
      <c r="O674" s="263"/>
    </row>
    <row r="675">
      <c r="A675" s="263"/>
      <c r="B675" s="356"/>
      <c r="G675" s="300" t="str">
        <f>If(H675&gt;=0,"🔴","💣")</f>
        <v>#N/A</v>
      </c>
      <c r="H675" s="309" t="str">
        <f>if(F668="...",0,vlookup(F668,Summary!$E:$V,18,false))</f>
        <v>#N/A</v>
      </c>
      <c r="J675" s="318"/>
      <c r="N675" s="348"/>
      <c r="O675" s="263"/>
    </row>
    <row r="676">
      <c r="A676" s="83"/>
      <c r="B676" s="356"/>
      <c r="C676" s="286" t="str">
        <f>G676&amp;F668</f>
        <v>❤️️Ngat.500</v>
      </c>
      <c r="D676" s="357"/>
      <c r="E676" s="358"/>
      <c r="F676" s="359"/>
      <c r="G676" s="351" t="s">
        <v>194</v>
      </c>
      <c r="H676" s="309" t="str">
        <f>sumif(L679:L692,"complete",K679:K692)-vlookup(F668,ADDSTORE!$M$3:$O$38,3,false)</f>
        <v>#N/A</v>
      </c>
      <c r="J676" s="360"/>
      <c r="K676" s="360"/>
      <c r="N676" s="348"/>
      <c r="O676" s="83"/>
    </row>
    <row r="677">
      <c r="A677" s="83"/>
      <c r="B677" s="317"/>
      <c r="C677" s="318"/>
      <c r="D677" s="361"/>
      <c r="E677" s="318"/>
      <c r="F677" s="362"/>
      <c r="G677" s="318"/>
      <c r="H677" s="318"/>
      <c r="I677" s="318"/>
      <c r="J677" s="318"/>
      <c r="K677" s="318"/>
      <c r="L677" s="363"/>
      <c r="M677" s="363"/>
      <c r="N677" s="348"/>
      <c r="O677" s="83"/>
    </row>
    <row r="678">
      <c r="A678" s="83"/>
      <c r="B678" s="317"/>
      <c r="C678" s="318"/>
      <c r="D678" s="319" t="s">
        <v>195</v>
      </c>
      <c r="E678" s="320"/>
      <c r="F678" s="320"/>
      <c r="G678" s="320"/>
      <c r="H678" s="320"/>
      <c r="I678" s="321" t="s">
        <v>196</v>
      </c>
      <c r="J678" s="322" t="s">
        <v>197</v>
      </c>
      <c r="K678" s="323" t="s">
        <v>198</v>
      </c>
      <c r="L678" s="322" t="s">
        <v>199</v>
      </c>
      <c r="N678" s="348"/>
      <c r="O678" s="83"/>
    </row>
    <row r="679">
      <c r="A679" s="382"/>
      <c r="B679" s="325" t="str">
        <f t="shared" ref="B679:B692" si="28">if(L679="complete","🏅",if(L679="fail","💢",))</f>
        <v/>
      </c>
      <c r="C679" s="180" t="str">
        <f>L679&amp;F668&amp;D679</f>
        <v>Ngat.5001</v>
      </c>
      <c r="D679" s="326">
        <v>1.0</v>
      </c>
      <c r="E679" s="327"/>
      <c r="F679" s="328"/>
      <c r="G679" s="328"/>
      <c r="H679" s="328"/>
      <c r="I679" s="329"/>
      <c r="J679" s="330"/>
      <c r="K679" s="365"/>
      <c r="L679" s="364"/>
      <c r="N679" s="348"/>
      <c r="O679" s="382"/>
    </row>
    <row r="680">
      <c r="A680" s="382"/>
      <c r="B680" s="325" t="str">
        <f t="shared" si="28"/>
        <v/>
      </c>
      <c r="C680" s="180" t="str">
        <f>L680&amp;F668&amp;D680</f>
        <v>Ngat.5002</v>
      </c>
      <c r="D680" s="326">
        <v>2.0</v>
      </c>
      <c r="E680" s="327"/>
      <c r="F680" s="328"/>
      <c r="G680" s="328"/>
      <c r="H680" s="328"/>
      <c r="I680" s="329"/>
      <c r="J680" s="330"/>
      <c r="K680" s="366"/>
      <c r="L680" s="364"/>
      <c r="N680" s="348"/>
      <c r="O680" s="382"/>
    </row>
    <row r="681">
      <c r="A681" s="271"/>
      <c r="B681" s="325" t="str">
        <f t="shared" si="28"/>
        <v/>
      </c>
      <c r="C681" s="180" t="str">
        <f>L681&amp;F668&amp;D681</f>
        <v>Ngat.5003</v>
      </c>
      <c r="D681" s="326">
        <v>3.0</v>
      </c>
      <c r="E681" s="327"/>
      <c r="F681" s="328"/>
      <c r="G681" s="328"/>
      <c r="H681" s="328"/>
      <c r="I681" s="329"/>
      <c r="J681" s="330"/>
      <c r="K681" s="366"/>
      <c r="L681" s="364"/>
      <c r="N681" s="348"/>
      <c r="O681" s="271"/>
    </row>
    <row r="682">
      <c r="A682" s="271"/>
      <c r="B682" s="325" t="str">
        <f t="shared" si="28"/>
        <v/>
      </c>
      <c r="C682" s="180" t="str">
        <f>L682&amp;F668&amp;D682</f>
        <v>Ngat.5004</v>
      </c>
      <c r="D682" s="326">
        <v>4.0</v>
      </c>
      <c r="E682" s="327"/>
      <c r="F682" s="328"/>
      <c r="G682" s="328"/>
      <c r="H682" s="328"/>
      <c r="I682" s="329"/>
      <c r="J682" s="330"/>
      <c r="K682" s="365"/>
      <c r="L682" s="364"/>
      <c r="N682" s="348"/>
      <c r="O682" s="271"/>
    </row>
    <row r="683">
      <c r="A683" s="271"/>
      <c r="B683" s="325" t="str">
        <f t="shared" si="28"/>
        <v/>
      </c>
      <c r="C683" s="180" t="str">
        <f>L683&amp;F668&amp;D683</f>
        <v>Ngat.5005</v>
      </c>
      <c r="D683" s="326">
        <v>5.0</v>
      </c>
      <c r="E683" s="327"/>
      <c r="F683" s="328"/>
      <c r="G683" s="328"/>
      <c r="H683" s="328"/>
      <c r="I683" s="329"/>
      <c r="J683" s="330"/>
      <c r="K683" s="366"/>
      <c r="L683" s="330"/>
      <c r="N683" s="348"/>
      <c r="O683" s="271"/>
    </row>
    <row r="684">
      <c r="A684" s="266"/>
      <c r="B684" s="325" t="str">
        <f t="shared" si="28"/>
        <v/>
      </c>
      <c r="C684" s="180" t="str">
        <f>L684&amp;F668&amp;D684</f>
        <v>Ngat.5006</v>
      </c>
      <c r="D684" s="326">
        <v>6.0</v>
      </c>
      <c r="E684" s="327"/>
      <c r="F684" s="328"/>
      <c r="G684" s="328"/>
      <c r="H684" s="328"/>
      <c r="I684" s="329"/>
      <c r="J684" s="330"/>
      <c r="K684" s="366"/>
      <c r="L684" s="330"/>
      <c r="N684" s="348"/>
      <c r="O684" s="266"/>
    </row>
    <row r="685">
      <c r="A685" s="266"/>
      <c r="B685" s="325" t="str">
        <f t="shared" si="28"/>
        <v/>
      </c>
      <c r="C685" s="180" t="str">
        <f>L685&amp;F668&amp;D685</f>
        <v>Ngat.5007</v>
      </c>
      <c r="D685" s="326">
        <v>7.0</v>
      </c>
      <c r="E685" s="327"/>
      <c r="F685" s="328"/>
      <c r="G685" s="328"/>
      <c r="H685" s="328"/>
      <c r="I685" s="329"/>
      <c r="J685" s="330"/>
      <c r="K685" s="366"/>
      <c r="L685" s="330"/>
      <c r="N685" s="348"/>
      <c r="O685" s="266"/>
    </row>
    <row r="686">
      <c r="A686" s="266"/>
      <c r="B686" s="325" t="str">
        <f t="shared" si="28"/>
        <v/>
      </c>
      <c r="C686" s="180" t="str">
        <f>L686&amp;F668&amp;D686</f>
        <v>Ngat.5008</v>
      </c>
      <c r="D686" s="326">
        <v>8.0</v>
      </c>
      <c r="E686" s="327"/>
      <c r="F686" s="328"/>
      <c r="G686" s="328"/>
      <c r="H686" s="328"/>
      <c r="I686" s="329"/>
      <c r="J686" s="330"/>
      <c r="K686" s="366"/>
      <c r="L686" s="330"/>
      <c r="N686" s="348"/>
      <c r="O686" s="266"/>
    </row>
    <row r="687">
      <c r="A687" s="263"/>
      <c r="B687" s="325" t="str">
        <f t="shared" si="28"/>
        <v/>
      </c>
      <c r="C687" s="180" t="str">
        <f>L687&amp;F668&amp;D687</f>
        <v>Ngat.5009</v>
      </c>
      <c r="D687" s="326">
        <v>9.0</v>
      </c>
      <c r="E687" s="327"/>
      <c r="F687" s="328"/>
      <c r="G687" s="328"/>
      <c r="H687" s="328"/>
      <c r="I687" s="329"/>
      <c r="J687" s="330"/>
      <c r="K687" s="366"/>
      <c r="L687" s="330"/>
      <c r="N687" s="348"/>
      <c r="O687" s="263"/>
    </row>
    <row r="688">
      <c r="A688" s="263"/>
      <c r="B688" s="325" t="str">
        <f t="shared" si="28"/>
        <v/>
      </c>
      <c r="C688" s="180" t="str">
        <f>L688&amp;F668&amp;D688</f>
        <v>Ngat.50010</v>
      </c>
      <c r="D688" s="326">
        <v>10.0</v>
      </c>
      <c r="E688" s="327"/>
      <c r="F688" s="328"/>
      <c r="G688" s="328"/>
      <c r="H688" s="328"/>
      <c r="I688" s="329"/>
      <c r="J688" s="330"/>
      <c r="K688" s="366"/>
      <c r="L688" s="330"/>
      <c r="N688" s="348"/>
      <c r="O688" s="263"/>
    </row>
    <row r="689">
      <c r="A689" s="263"/>
      <c r="B689" s="325" t="str">
        <f t="shared" si="28"/>
        <v/>
      </c>
      <c r="C689" s="180" t="str">
        <f>L689&amp;F668&amp;D689</f>
        <v>Ngat.50011</v>
      </c>
      <c r="D689" s="326">
        <v>11.0</v>
      </c>
      <c r="E689" s="327"/>
      <c r="F689" s="328"/>
      <c r="G689" s="328"/>
      <c r="H689" s="328"/>
      <c r="I689" s="329"/>
      <c r="J689" s="330"/>
      <c r="K689" s="366"/>
      <c r="L689" s="330"/>
      <c r="N689" s="348"/>
      <c r="O689" s="263"/>
    </row>
    <row r="690">
      <c r="A690" s="83"/>
      <c r="B690" s="325" t="str">
        <f t="shared" si="28"/>
        <v/>
      </c>
      <c r="C690" s="180" t="str">
        <f>L690&amp;F668&amp;D690</f>
        <v>Ngat.50012</v>
      </c>
      <c r="D690" s="326">
        <v>12.0</v>
      </c>
      <c r="E690" s="327"/>
      <c r="F690" s="328"/>
      <c r="G690" s="328"/>
      <c r="H690" s="328"/>
      <c r="I690" s="329"/>
      <c r="J690" s="330"/>
      <c r="K690" s="366"/>
      <c r="L690" s="330"/>
      <c r="N690" s="348"/>
      <c r="O690" s="83"/>
    </row>
    <row r="691">
      <c r="A691" s="83"/>
      <c r="B691" s="325" t="str">
        <f t="shared" si="28"/>
        <v/>
      </c>
      <c r="C691" s="180" t="str">
        <f>L691&amp;F668&amp;D691</f>
        <v>Ngat.50013</v>
      </c>
      <c r="D691" s="326">
        <v>13.0</v>
      </c>
      <c r="E691" s="327"/>
      <c r="F691" s="328"/>
      <c r="G691" s="328"/>
      <c r="H691" s="328"/>
      <c r="I691" s="329"/>
      <c r="J691" s="330"/>
      <c r="K691" s="366"/>
      <c r="L691" s="330"/>
      <c r="N691" s="348"/>
      <c r="O691" s="83"/>
    </row>
    <row r="692">
      <c r="A692" s="83"/>
      <c r="B692" s="325" t="str">
        <f t="shared" si="28"/>
        <v/>
      </c>
      <c r="C692" s="180" t="str">
        <f>L692&amp;F668&amp;D692</f>
        <v>Ngat.50014</v>
      </c>
      <c r="D692" s="326">
        <v>14.0</v>
      </c>
      <c r="E692" s="327"/>
      <c r="F692" s="328"/>
      <c r="G692" s="328"/>
      <c r="H692" s="328"/>
      <c r="I692" s="329"/>
      <c r="J692" s="330"/>
      <c r="K692" s="366"/>
      <c r="L692" s="330"/>
      <c r="N692" s="348"/>
      <c r="O692" s="83"/>
    </row>
    <row r="693">
      <c r="A693" s="83"/>
      <c r="B693" s="367"/>
      <c r="C693" s="368"/>
      <c r="D693" s="369"/>
      <c r="E693" s="368"/>
      <c r="F693" s="370"/>
      <c r="G693" s="368"/>
      <c r="H693" s="368"/>
      <c r="I693" s="368"/>
      <c r="J693" s="368"/>
      <c r="K693" s="368"/>
      <c r="L693" s="368"/>
      <c r="M693" s="368"/>
      <c r="N693" s="371"/>
      <c r="O693" s="83"/>
    </row>
    <row r="694">
      <c r="A694" s="83"/>
      <c r="B694" s="339"/>
      <c r="D694" s="339"/>
      <c r="F694" s="340"/>
      <c r="O694" s="83"/>
    </row>
    <row r="695" ht="9.0" hidden="1" customHeight="1">
      <c r="A695" s="399"/>
      <c r="B695" s="393"/>
      <c r="D695" s="394"/>
      <c r="E695" s="395"/>
      <c r="F695" s="396"/>
      <c r="G695" s="397"/>
      <c r="H695" s="391"/>
      <c r="I695" s="391"/>
      <c r="J695" s="397"/>
      <c r="K695" s="398"/>
      <c r="L695" s="395"/>
      <c r="M695" s="399"/>
      <c r="N695" s="393"/>
      <c r="O695" s="399"/>
    </row>
    <row r="696" hidden="1">
      <c r="A696" s="399"/>
      <c r="B696" s="341"/>
      <c r="C696" s="342"/>
      <c r="D696" s="343"/>
      <c r="E696" s="342"/>
      <c r="F696" s="344"/>
      <c r="G696" s="342"/>
      <c r="H696" s="342"/>
      <c r="I696" s="342"/>
      <c r="J696" s="342"/>
      <c r="K696" s="342"/>
      <c r="L696" s="342"/>
      <c r="M696" s="342"/>
      <c r="N696" s="345"/>
      <c r="O696" s="399"/>
    </row>
    <row r="697" hidden="1">
      <c r="A697" s="395"/>
      <c r="B697" s="346">
        <v>1.0</v>
      </c>
      <c r="D697" s="287" t="s">
        <v>171</v>
      </c>
      <c r="E697" s="347" t="s">
        <v>172</v>
      </c>
      <c r="F697" s="289" t="s">
        <v>265</v>
      </c>
      <c r="G697" s="290"/>
      <c r="J697" s="291"/>
      <c r="N697" s="348"/>
      <c r="O697" s="395"/>
    </row>
    <row r="698" hidden="1">
      <c r="A698" s="395"/>
      <c r="B698" s="346">
        <v>1.0</v>
      </c>
      <c r="C698" s="202" t="str">
        <f>E698&amp;F698</f>
        <v>Nick Name:Tien.Site</v>
      </c>
      <c r="D698" s="349" t="s">
        <v>173</v>
      </c>
      <c r="E698" s="347" t="s">
        <v>174</v>
      </c>
      <c r="F698" s="289" t="s">
        <v>266</v>
      </c>
      <c r="J698" s="291" t="s">
        <v>175</v>
      </c>
      <c r="L698" s="298" t="s">
        <v>200</v>
      </c>
      <c r="N698" s="348"/>
      <c r="O698" s="395"/>
    </row>
    <row r="699" hidden="1">
      <c r="A699" s="395"/>
      <c r="B699" s="346">
        <v>1.0</v>
      </c>
      <c r="C699" s="202" t="str">
        <f>E699&amp;F698</f>
        <v>Full Name:Tien.Site</v>
      </c>
      <c r="D699" s="349" t="s">
        <v>177</v>
      </c>
      <c r="E699" s="347" t="s">
        <v>178</v>
      </c>
      <c r="F699" s="289" t="s">
        <v>267</v>
      </c>
      <c r="J699" s="291" t="s">
        <v>179</v>
      </c>
      <c r="L699" s="298" t="s">
        <v>200</v>
      </c>
      <c r="N699" s="348"/>
      <c r="O699" s="395"/>
    </row>
    <row r="700" hidden="1">
      <c r="A700" s="398"/>
      <c r="B700" s="346">
        <v>1.0</v>
      </c>
      <c r="C700" s="202" t="str">
        <f>E700&amp;F698</f>
        <v>Position:Tien.Site</v>
      </c>
      <c r="D700" s="349" t="s">
        <v>181</v>
      </c>
      <c r="E700" s="347" t="s">
        <v>182</v>
      </c>
      <c r="F700" s="289" t="s">
        <v>252</v>
      </c>
      <c r="J700" s="291" t="s">
        <v>184</v>
      </c>
      <c r="L700" s="298" t="s">
        <v>200</v>
      </c>
      <c r="N700" s="348"/>
      <c r="O700" s="398"/>
    </row>
    <row r="701" hidden="1">
      <c r="A701" s="398"/>
      <c r="B701" s="346">
        <v>1.0</v>
      </c>
      <c r="C701" s="202" t="str">
        <f>E701&amp;F698</f>
        <v>Birth:Tien.Site</v>
      </c>
      <c r="D701" s="349" t="s">
        <v>185</v>
      </c>
      <c r="E701" s="347" t="s">
        <v>186</v>
      </c>
      <c r="F701" s="289" t="s">
        <v>212</v>
      </c>
      <c r="J701" s="351"/>
      <c r="K701" s="352"/>
      <c r="L701" s="352"/>
      <c r="M701" s="352"/>
      <c r="N701" s="348"/>
      <c r="O701" s="398"/>
    </row>
    <row r="702" hidden="1">
      <c r="A702" s="398"/>
      <c r="B702" s="346">
        <v>1.0</v>
      </c>
      <c r="C702" s="202" t="str">
        <f>E702&amp;F698</f>
        <v>Experience:Tien.Site</v>
      </c>
      <c r="D702" s="349" t="s">
        <v>188</v>
      </c>
      <c r="E702" s="347" t="s">
        <v>189</v>
      </c>
      <c r="F702" s="289" t="s">
        <v>200</v>
      </c>
      <c r="J702" s="318"/>
      <c r="K702" s="352"/>
      <c r="L702" s="352"/>
      <c r="M702" s="352"/>
      <c r="N702" s="348"/>
      <c r="O702" s="398"/>
    </row>
    <row r="703" hidden="1">
      <c r="A703" s="397"/>
      <c r="B703" s="346"/>
      <c r="C703" s="374" t="str">
        <f>E703&amp;F698</f>
        <v>Quote:Tien.Site</v>
      </c>
      <c r="D703" s="353" t="s">
        <v>191</v>
      </c>
      <c r="E703" s="354" t="s">
        <v>192</v>
      </c>
      <c r="F703" s="308" t="s">
        <v>200</v>
      </c>
      <c r="J703" s="318"/>
      <c r="K703" s="352"/>
      <c r="L703" s="352"/>
      <c r="M703" s="352"/>
      <c r="N703" s="348"/>
      <c r="O703" s="397"/>
    </row>
    <row r="704" hidden="1">
      <c r="A704" s="397"/>
      <c r="B704" s="346"/>
      <c r="J704" s="318"/>
      <c r="K704" s="352"/>
      <c r="L704" s="352"/>
      <c r="N704" s="348"/>
      <c r="O704" s="397"/>
    </row>
    <row r="705" hidden="1">
      <c r="A705" s="397"/>
      <c r="B705" s="356"/>
      <c r="G705" s="300" t="str">
        <f>If(H705&gt;=0,"🔴","💣")</f>
        <v>#N/A</v>
      </c>
      <c r="H705" s="309" t="str">
        <f>if(F698="...",0,vlookup(F698,Summary!$E:$V,18,false))</f>
        <v>#N/A</v>
      </c>
      <c r="J705" s="318"/>
      <c r="N705" s="348"/>
      <c r="O705" s="397"/>
    </row>
    <row r="706" hidden="1">
      <c r="A706" s="391"/>
      <c r="B706" s="356"/>
      <c r="C706" s="286" t="str">
        <f>G706&amp;F698</f>
        <v>❤️️Tien.Site</v>
      </c>
      <c r="D706" s="357"/>
      <c r="E706" s="358"/>
      <c r="F706" s="359"/>
      <c r="G706" s="351" t="s">
        <v>194</v>
      </c>
      <c r="H706" s="309" t="str">
        <f>sumif(L709:L722,"complete",K709:K722)-vlookup(F698,ADDSTORE!$M$3:$O$38,3,false)</f>
        <v>#N/A</v>
      </c>
      <c r="J706" s="360"/>
      <c r="K706" s="360"/>
      <c r="N706" s="348"/>
      <c r="O706" s="391"/>
    </row>
    <row r="707" hidden="1">
      <c r="A707" s="391"/>
      <c r="B707" s="317"/>
      <c r="C707" s="318"/>
      <c r="D707" s="361"/>
      <c r="E707" s="318"/>
      <c r="F707" s="362"/>
      <c r="G707" s="318"/>
      <c r="H707" s="318"/>
      <c r="I707" s="318"/>
      <c r="J707" s="318"/>
      <c r="K707" s="318"/>
      <c r="L707" s="363"/>
      <c r="M707" s="363"/>
      <c r="N707" s="348"/>
      <c r="O707" s="391"/>
    </row>
    <row r="708" hidden="1">
      <c r="A708" s="391"/>
      <c r="B708" s="317"/>
      <c r="C708" s="318"/>
      <c r="D708" s="319" t="s">
        <v>195</v>
      </c>
      <c r="E708" s="320"/>
      <c r="F708" s="320"/>
      <c r="G708" s="320"/>
      <c r="H708" s="320"/>
      <c r="I708" s="321" t="s">
        <v>196</v>
      </c>
      <c r="J708" s="322" t="s">
        <v>197</v>
      </c>
      <c r="K708" s="323" t="s">
        <v>198</v>
      </c>
      <c r="L708" s="322" t="s">
        <v>199</v>
      </c>
      <c r="N708" s="348"/>
      <c r="O708" s="391"/>
    </row>
    <row r="709" hidden="1">
      <c r="A709" s="399"/>
      <c r="B709" s="325" t="str">
        <f t="shared" ref="B709:B722" si="29">if(L709="complete","🏅",if(L709="fail","💢",))</f>
        <v/>
      </c>
      <c r="C709" s="180" t="str">
        <f>L709&amp;F698&amp;D709</f>
        <v>Tien.Site1</v>
      </c>
      <c r="D709" s="326">
        <v>1.0</v>
      </c>
      <c r="E709" s="327"/>
      <c r="F709" s="328"/>
      <c r="G709" s="328"/>
      <c r="H709" s="328"/>
      <c r="I709" s="329"/>
      <c r="J709" s="330"/>
      <c r="K709" s="365"/>
      <c r="L709" s="364"/>
      <c r="N709" s="348"/>
      <c r="O709" s="399"/>
    </row>
    <row r="710" hidden="1">
      <c r="A710" s="399"/>
      <c r="B710" s="325" t="str">
        <f t="shared" si="29"/>
        <v/>
      </c>
      <c r="C710" s="180" t="str">
        <f>L710&amp;F698&amp;D710</f>
        <v>Tien.Site2</v>
      </c>
      <c r="D710" s="326">
        <v>2.0</v>
      </c>
      <c r="E710" s="327"/>
      <c r="F710" s="328"/>
      <c r="G710" s="328"/>
      <c r="H710" s="328"/>
      <c r="I710" s="329"/>
      <c r="J710" s="330"/>
      <c r="K710" s="366"/>
      <c r="L710" s="364"/>
      <c r="N710" s="348"/>
      <c r="O710" s="399"/>
    </row>
    <row r="711" hidden="1">
      <c r="A711" s="395"/>
      <c r="B711" s="325" t="str">
        <f t="shared" si="29"/>
        <v/>
      </c>
      <c r="C711" s="180" t="str">
        <f>L711&amp;F698&amp;D711</f>
        <v>Tien.Site3</v>
      </c>
      <c r="D711" s="326">
        <v>3.0</v>
      </c>
      <c r="E711" s="327"/>
      <c r="F711" s="328"/>
      <c r="G711" s="328"/>
      <c r="H711" s="328"/>
      <c r="I711" s="329"/>
      <c r="J711" s="330"/>
      <c r="K711" s="366"/>
      <c r="L711" s="364"/>
      <c r="N711" s="348"/>
      <c r="O711" s="395"/>
    </row>
    <row r="712" hidden="1">
      <c r="A712" s="395"/>
      <c r="B712" s="325" t="str">
        <f t="shared" si="29"/>
        <v/>
      </c>
      <c r="C712" s="180" t="str">
        <f>L712&amp;F698&amp;D712</f>
        <v>Tien.Site4</v>
      </c>
      <c r="D712" s="326">
        <v>4.0</v>
      </c>
      <c r="E712" s="327"/>
      <c r="F712" s="328"/>
      <c r="G712" s="328"/>
      <c r="H712" s="328"/>
      <c r="I712" s="329"/>
      <c r="J712" s="330"/>
      <c r="K712" s="365"/>
      <c r="L712" s="364"/>
      <c r="N712" s="348"/>
      <c r="O712" s="395"/>
    </row>
    <row r="713" hidden="1">
      <c r="A713" s="395"/>
      <c r="B713" s="325" t="str">
        <f t="shared" si="29"/>
        <v/>
      </c>
      <c r="C713" s="180" t="str">
        <f>L713&amp;F698&amp;D713</f>
        <v>Tien.Site5</v>
      </c>
      <c r="D713" s="326">
        <v>5.0</v>
      </c>
      <c r="E713" s="327"/>
      <c r="F713" s="328"/>
      <c r="G713" s="328"/>
      <c r="H713" s="328"/>
      <c r="I713" s="329"/>
      <c r="J713" s="330"/>
      <c r="K713" s="366"/>
      <c r="L713" s="330"/>
      <c r="N713" s="348"/>
      <c r="O713" s="395"/>
    </row>
    <row r="714" hidden="1">
      <c r="A714" s="398"/>
      <c r="B714" s="325" t="str">
        <f t="shared" si="29"/>
        <v/>
      </c>
      <c r="C714" s="180" t="str">
        <f>L714&amp;F698&amp;D714</f>
        <v>Tien.Site6</v>
      </c>
      <c r="D714" s="326">
        <v>6.0</v>
      </c>
      <c r="E714" s="327"/>
      <c r="F714" s="328"/>
      <c r="G714" s="328"/>
      <c r="H714" s="328"/>
      <c r="I714" s="329"/>
      <c r="J714" s="330"/>
      <c r="K714" s="366"/>
      <c r="L714" s="330"/>
      <c r="N714" s="348"/>
      <c r="O714" s="398"/>
    </row>
    <row r="715" hidden="1">
      <c r="A715" s="398"/>
      <c r="B715" s="325" t="str">
        <f t="shared" si="29"/>
        <v/>
      </c>
      <c r="C715" s="180" t="str">
        <f>L715&amp;F698&amp;D715</f>
        <v>Tien.Site7</v>
      </c>
      <c r="D715" s="326">
        <v>7.0</v>
      </c>
      <c r="E715" s="327"/>
      <c r="F715" s="328"/>
      <c r="G715" s="328"/>
      <c r="H715" s="328"/>
      <c r="I715" s="329"/>
      <c r="J715" s="330"/>
      <c r="K715" s="366"/>
      <c r="L715" s="330"/>
      <c r="N715" s="348"/>
      <c r="O715" s="398"/>
    </row>
    <row r="716" hidden="1">
      <c r="A716" s="398"/>
      <c r="B716" s="325" t="str">
        <f t="shared" si="29"/>
        <v/>
      </c>
      <c r="C716" s="180" t="str">
        <f>L716&amp;F698&amp;D716</f>
        <v>Tien.Site8</v>
      </c>
      <c r="D716" s="326">
        <v>8.0</v>
      </c>
      <c r="E716" s="327"/>
      <c r="F716" s="328"/>
      <c r="G716" s="328"/>
      <c r="H716" s="328"/>
      <c r="I716" s="329"/>
      <c r="J716" s="330"/>
      <c r="K716" s="366"/>
      <c r="L716" s="330"/>
      <c r="N716" s="348"/>
      <c r="O716" s="398"/>
    </row>
    <row r="717" hidden="1">
      <c r="A717" s="397"/>
      <c r="B717" s="325" t="str">
        <f t="shared" si="29"/>
        <v/>
      </c>
      <c r="C717" s="180" t="str">
        <f>L717&amp;F698&amp;D717</f>
        <v>Tien.Site9</v>
      </c>
      <c r="D717" s="326">
        <v>9.0</v>
      </c>
      <c r="E717" s="327"/>
      <c r="F717" s="328"/>
      <c r="G717" s="328"/>
      <c r="H717" s="328"/>
      <c r="I717" s="329"/>
      <c r="J717" s="330"/>
      <c r="K717" s="366"/>
      <c r="L717" s="330"/>
      <c r="N717" s="348"/>
      <c r="O717" s="397"/>
    </row>
    <row r="718" hidden="1">
      <c r="A718" s="397"/>
      <c r="B718" s="325" t="str">
        <f t="shared" si="29"/>
        <v/>
      </c>
      <c r="C718" s="180" t="str">
        <f>L718&amp;F698&amp;D718</f>
        <v>Tien.Site10</v>
      </c>
      <c r="D718" s="326">
        <v>10.0</v>
      </c>
      <c r="E718" s="327"/>
      <c r="F718" s="328"/>
      <c r="G718" s="328"/>
      <c r="H718" s="328"/>
      <c r="I718" s="329"/>
      <c r="J718" s="330"/>
      <c r="K718" s="366"/>
      <c r="L718" s="330"/>
      <c r="N718" s="348"/>
      <c r="O718" s="397"/>
    </row>
    <row r="719" hidden="1">
      <c r="A719" s="397"/>
      <c r="B719" s="325" t="str">
        <f t="shared" si="29"/>
        <v/>
      </c>
      <c r="C719" s="180" t="str">
        <f>L719&amp;F698&amp;D719</f>
        <v>Tien.Site11</v>
      </c>
      <c r="D719" s="326">
        <v>11.0</v>
      </c>
      <c r="E719" s="327"/>
      <c r="F719" s="328"/>
      <c r="G719" s="328"/>
      <c r="H719" s="328"/>
      <c r="I719" s="329"/>
      <c r="J719" s="330"/>
      <c r="K719" s="366"/>
      <c r="L719" s="330"/>
      <c r="N719" s="348"/>
      <c r="O719" s="397"/>
    </row>
    <row r="720" hidden="1">
      <c r="A720" s="391"/>
      <c r="B720" s="325" t="str">
        <f t="shared" si="29"/>
        <v/>
      </c>
      <c r="C720" s="180" t="str">
        <f>L720&amp;F698&amp;D720</f>
        <v>Tien.Site12</v>
      </c>
      <c r="D720" s="326">
        <v>12.0</v>
      </c>
      <c r="E720" s="327"/>
      <c r="F720" s="328"/>
      <c r="G720" s="328"/>
      <c r="H720" s="328"/>
      <c r="I720" s="329"/>
      <c r="J720" s="330"/>
      <c r="K720" s="366"/>
      <c r="L720" s="330"/>
      <c r="N720" s="348"/>
      <c r="O720" s="391"/>
    </row>
    <row r="721" hidden="1">
      <c r="A721" s="391"/>
      <c r="B721" s="325" t="str">
        <f t="shared" si="29"/>
        <v/>
      </c>
      <c r="C721" s="180" t="str">
        <f>L721&amp;F698&amp;D721</f>
        <v>Tien.Site13</v>
      </c>
      <c r="D721" s="326">
        <v>13.0</v>
      </c>
      <c r="E721" s="327"/>
      <c r="F721" s="328"/>
      <c r="G721" s="328"/>
      <c r="H721" s="328"/>
      <c r="I721" s="329"/>
      <c r="J721" s="330"/>
      <c r="K721" s="366"/>
      <c r="L721" s="330"/>
      <c r="N721" s="348"/>
      <c r="O721" s="391"/>
    </row>
    <row r="722" hidden="1">
      <c r="A722" s="391"/>
      <c r="B722" s="325" t="str">
        <f t="shared" si="29"/>
        <v/>
      </c>
      <c r="C722" s="180" t="str">
        <f>L722&amp;F698&amp;D722</f>
        <v>Tien.Site14</v>
      </c>
      <c r="D722" s="326">
        <v>14.0</v>
      </c>
      <c r="E722" s="327"/>
      <c r="F722" s="328"/>
      <c r="G722" s="328"/>
      <c r="H722" s="328"/>
      <c r="I722" s="329"/>
      <c r="J722" s="330"/>
      <c r="K722" s="366"/>
      <c r="L722" s="330"/>
      <c r="N722" s="348"/>
      <c r="O722" s="391"/>
    </row>
    <row r="723" hidden="1">
      <c r="A723" s="391"/>
      <c r="B723" s="367"/>
      <c r="C723" s="368"/>
      <c r="D723" s="369"/>
      <c r="E723" s="368"/>
      <c r="F723" s="370"/>
      <c r="G723" s="368"/>
      <c r="H723" s="368"/>
      <c r="I723" s="368"/>
      <c r="J723" s="368"/>
      <c r="K723" s="368"/>
      <c r="L723" s="368"/>
      <c r="M723" s="368"/>
      <c r="N723" s="371"/>
      <c r="O723" s="391"/>
    </row>
    <row r="724" hidden="1">
      <c r="A724" s="391"/>
      <c r="B724" s="339"/>
      <c r="D724" s="339"/>
      <c r="F724" s="340"/>
      <c r="O724" s="391"/>
    </row>
    <row r="725" ht="9.0" hidden="1" customHeight="1">
      <c r="A725" s="399"/>
      <c r="B725" s="393"/>
      <c r="D725" s="394"/>
      <c r="E725" s="395"/>
      <c r="F725" s="396"/>
      <c r="G725" s="397"/>
      <c r="H725" s="391"/>
      <c r="I725" s="391"/>
      <c r="J725" s="397"/>
      <c r="K725" s="398"/>
      <c r="L725" s="395"/>
      <c r="M725" s="399"/>
      <c r="N725" s="393"/>
      <c r="O725" s="399"/>
    </row>
    <row r="726" hidden="1">
      <c r="A726" s="399"/>
      <c r="B726" s="341"/>
      <c r="C726" s="342"/>
      <c r="D726" s="343"/>
      <c r="E726" s="342"/>
      <c r="F726" s="344"/>
      <c r="G726" s="342"/>
      <c r="H726" s="342"/>
      <c r="I726" s="342"/>
      <c r="J726" s="342"/>
      <c r="K726" s="342"/>
      <c r="L726" s="342"/>
      <c r="M726" s="342"/>
      <c r="N726" s="345"/>
      <c r="O726" s="399"/>
    </row>
    <row r="727" hidden="1">
      <c r="A727" s="395"/>
      <c r="B727" s="346">
        <v>1.0</v>
      </c>
      <c r="D727" s="287" t="s">
        <v>171</v>
      </c>
      <c r="E727" s="347" t="s">
        <v>172</v>
      </c>
      <c r="F727" s="289" t="s">
        <v>200</v>
      </c>
      <c r="G727" s="290"/>
      <c r="J727" s="291"/>
      <c r="N727" s="348"/>
      <c r="O727" s="395"/>
    </row>
    <row r="728" hidden="1">
      <c r="A728" s="395"/>
      <c r="B728" s="346">
        <v>1.0</v>
      </c>
      <c r="C728" s="202" t="str">
        <f>E728&amp;F728</f>
        <v>Nick Name:...</v>
      </c>
      <c r="D728" s="349" t="s">
        <v>173</v>
      </c>
      <c r="E728" s="347" t="s">
        <v>174</v>
      </c>
      <c r="F728" s="289" t="s">
        <v>200</v>
      </c>
      <c r="J728" s="291" t="s">
        <v>175</v>
      </c>
      <c r="L728" s="298" t="s">
        <v>200</v>
      </c>
      <c r="N728" s="348"/>
      <c r="O728" s="395"/>
    </row>
    <row r="729" hidden="1">
      <c r="A729" s="395"/>
      <c r="B729" s="346">
        <v>1.0</v>
      </c>
      <c r="C729" s="202" t="str">
        <f>E729&amp;F728</f>
        <v>Full Name:...</v>
      </c>
      <c r="D729" s="349" t="s">
        <v>177</v>
      </c>
      <c r="E729" s="347" t="s">
        <v>178</v>
      </c>
      <c r="F729" s="289" t="s">
        <v>200</v>
      </c>
      <c r="J729" s="291" t="s">
        <v>179</v>
      </c>
      <c r="L729" s="298" t="s">
        <v>200</v>
      </c>
      <c r="N729" s="348"/>
      <c r="O729" s="395"/>
    </row>
    <row r="730" hidden="1">
      <c r="A730" s="398"/>
      <c r="B730" s="346">
        <v>1.0</v>
      </c>
      <c r="C730" s="202" t="str">
        <f>E730&amp;F728</f>
        <v>Position:...</v>
      </c>
      <c r="D730" s="349" t="s">
        <v>181</v>
      </c>
      <c r="E730" s="347" t="s">
        <v>182</v>
      </c>
      <c r="F730" s="388" t="s">
        <v>200</v>
      </c>
      <c r="J730" s="291" t="s">
        <v>184</v>
      </c>
      <c r="L730" s="298" t="s">
        <v>200</v>
      </c>
      <c r="N730" s="348"/>
      <c r="O730" s="398"/>
    </row>
    <row r="731" hidden="1">
      <c r="A731" s="398"/>
      <c r="B731" s="346">
        <v>1.0</v>
      </c>
      <c r="C731" s="202" t="str">
        <f>E731&amp;F728</f>
        <v>Birth:...</v>
      </c>
      <c r="D731" s="349" t="s">
        <v>185</v>
      </c>
      <c r="E731" s="347" t="s">
        <v>186</v>
      </c>
      <c r="F731" s="289" t="s">
        <v>212</v>
      </c>
      <c r="J731" s="351"/>
      <c r="K731" s="352"/>
      <c r="L731" s="352"/>
      <c r="M731" s="352"/>
      <c r="N731" s="348"/>
      <c r="O731" s="398"/>
    </row>
    <row r="732" hidden="1">
      <c r="A732" s="398"/>
      <c r="B732" s="346">
        <v>1.0</v>
      </c>
      <c r="C732" s="202" t="str">
        <f>E732&amp;F728</f>
        <v>Experience:...</v>
      </c>
      <c r="D732" s="349" t="s">
        <v>188</v>
      </c>
      <c r="E732" s="347" t="s">
        <v>189</v>
      </c>
      <c r="F732" s="289" t="s">
        <v>200</v>
      </c>
      <c r="J732" s="318"/>
      <c r="K732" s="352"/>
      <c r="L732" s="352"/>
      <c r="M732" s="352"/>
      <c r="N732" s="348"/>
      <c r="O732" s="398"/>
    </row>
    <row r="733" hidden="1">
      <c r="A733" s="397"/>
      <c r="B733" s="346"/>
      <c r="C733" s="374" t="str">
        <f>E733&amp;F728</f>
        <v>Quote:...</v>
      </c>
      <c r="D733" s="353" t="s">
        <v>191</v>
      </c>
      <c r="E733" s="354" t="s">
        <v>192</v>
      </c>
      <c r="F733" s="308" t="s">
        <v>200</v>
      </c>
      <c r="J733" s="318"/>
      <c r="K733" s="352"/>
      <c r="L733" s="352"/>
      <c r="M733" s="352"/>
      <c r="N733" s="348"/>
      <c r="O733" s="397"/>
    </row>
    <row r="734" hidden="1">
      <c r="A734" s="397"/>
      <c r="B734" s="346"/>
      <c r="J734" s="318"/>
      <c r="K734" s="352"/>
      <c r="L734" s="352"/>
      <c r="N734" s="348"/>
      <c r="O734" s="397"/>
    </row>
    <row r="735" hidden="1">
      <c r="A735" s="397"/>
      <c r="B735" s="356"/>
      <c r="G735" s="300" t="str">
        <f>If(H735&gt;=0,"🔴","💣")</f>
        <v>🔴</v>
      </c>
      <c r="H735" s="309">
        <f>if(F728="...",0,vlookup(F728,Summary!$E:$V,18,false))</f>
        <v>0</v>
      </c>
      <c r="J735" s="318"/>
      <c r="N735" s="348"/>
      <c r="O735" s="397"/>
    </row>
    <row r="736" hidden="1">
      <c r="A736" s="391"/>
      <c r="B736" s="356"/>
      <c r="C736" s="286" t="str">
        <f>G736&amp;F728</f>
        <v>❤️️...</v>
      </c>
      <c r="D736" s="357"/>
      <c r="E736" s="358"/>
      <c r="F736" s="359"/>
      <c r="G736" s="351" t="s">
        <v>194</v>
      </c>
      <c r="H736" s="309" t="str">
        <f>sumif(L739:L752,"complete",K739:K752)-vlookup(F728,ADDSTORE!$M$3:$O$38,3,false)</f>
        <v>#N/A</v>
      </c>
      <c r="J736" s="360"/>
      <c r="K736" s="360"/>
      <c r="N736" s="348"/>
      <c r="O736" s="391"/>
    </row>
    <row r="737" hidden="1">
      <c r="A737" s="391"/>
      <c r="B737" s="317"/>
      <c r="C737" s="318"/>
      <c r="D737" s="361"/>
      <c r="E737" s="318"/>
      <c r="F737" s="362"/>
      <c r="G737" s="318"/>
      <c r="H737" s="318"/>
      <c r="I737" s="318"/>
      <c r="J737" s="318"/>
      <c r="K737" s="318"/>
      <c r="L737" s="363"/>
      <c r="M737" s="363"/>
      <c r="N737" s="348"/>
      <c r="O737" s="391"/>
    </row>
    <row r="738" hidden="1">
      <c r="A738" s="391"/>
      <c r="B738" s="317"/>
      <c r="C738" s="318"/>
      <c r="D738" s="319" t="s">
        <v>195</v>
      </c>
      <c r="E738" s="320"/>
      <c r="F738" s="320"/>
      <c r="G738" s="320"/>
      <c r="H738" s="320"/>
      <c r="I738" s="321" t="s">
        <v>196</v>
      </c>
      <c r="J738" s="322" t="s">
        <v>197</v>
      </c>
      <c r="K738" s="323" t="s">
        <v>198</v>
      </c>
      <c r="L738" s="322" t="s">
        <v>199</v>
      </c>
      <c r="N738" s="348"/>
      <c r="O738" s="391"/>
    </row>
    <row r="739" hidden="1">
      <c r="A739" s="399"/>
      <c r="B739" s="325" t="str">
        <f t="shared" ref="B739:B752" si="30">if(L739="complete","🏅",if(L739="fail","💢",))</f>
        <v/>
      </c>
      <c r="C739" s="180" t="str">
        <f>L739&amp;F728&amp;D739</f>
        <v>...1</v>
      </c>
      <c r="D739" s="326">
        <v>1.0</v>
      </c>
      <c r="E739" s="327"/>
      <c r="F739" s="328"/>
      <c r="G739" s="328"/>
      <c r="H739" s="328"/>
      <c r="I739" s="329"/>
      <c r="J739" s="330"/>
      <c r="K739" s="365"/>
      <c r="L739" s="364"/>
      <c r="N739" s="348"/>
      <c r="O739" s="399"/>
    </row>
    <row r="740" hidden="1">
      <c r="A740" s="399"/>
      <c r="B740" s="325" t="str">
        <f t="shared" si="30"/>
        <v/>
      </c>
      <c r="C740" s="180" t="str">
        <f>L740&amp;F728&amp;D740</f>
        <v>...2</v>
      </c>
      <c r="D740" s="326">
        <v>2.0</v>
      </c>
      <c r="E740" s="327"/>
      <c r="F740" s="328"/>
      <c r="G740" s="328"/>
      <c r="H740" s="328"/>
      <c r="I740" s="329"/>
      <c r="J740" s="330"/>
      <c r="K740" s="366"/>
      <c r="L740" s="364"/>
      <c r="N740" s="348"/>
      <c r="O740" s="399"/>
    </row>
    <row r="741" hidden="1">
      <c r="A741" s="395"/>
      <c r="B741" s="325" t="str">
        <f t="shared" si="30"/>
        <v/>
      </c>
      <c r="C741" s="180" t="str">
        <f>L741&amp;F728&amp;D741</f>
        <v>...3</v>
      </c>
      <c r="D741" s="326">
        <v>3.0</v>
      </c>
      <c r="E741" s="327"/>
      <c r="F741" s="328"/>
      <c r="G741" s="328"/>
      <c r="H741" s="328"/>
      <c r="I741" s="329"/>
      <c r="J741" s="330"/>
      <c r="K741" s="366"/>
      <c r="L741" s="364"/>
      <c r="N741" s="348"/>
      <c r="O741" s="395"/>
    </row>
    <row r="742" hidden="1">
      <c r="A742" s="395"/>
      <c r="B742" s="325" t="str">
        <f t="shared" si="30"/>
        <v/>
      </c>
      <c r="C742" s="180" t="str">
        <f>L742&amp;F728&amp;D742</f>
        <v>...4</v>
      </c>
      <c r="D742" s="326">
        <v>4.0</v>
      </c>
      <c r="E742" s="327"/>
      <c r="F742" s="328"/>
      <c r="G742" s="328"/>
      <c r="H742" s="328"/>
      <c r="I742" s="329"/>
      <c r="J742" s="330"/>
      <c r="K742" s="365"/>
      <c r="L742" s="364"/>
      <c r="N742" s="348"/>
      <c r="O742" s="395"/>
    </row>
    <row r="743" hidden="1">
      <c r="A743" s="395"/>
      <c r="B743" s="325" t="str">
        <f t="shared" si="30"/>
        <v/>
      </c>
      <c r="C743" s="180" t="str">
        <f>L743&amp;F728&amp;D743</f>
        <v>...5</v>
      </c>
      <c r="D743" s="326">
        <v>5.0</v>
      </c>
      <c r="E743" s="327"/>
      <c r="F743" s="328"/>
      <c r="G743" s="328"/>
      <c r="H743" s="328"/>
      <c r="I743" s="329"/>
      <c r="J743" s="330"/>
      <c r="K743" s="366"/>
      <c r="L743" s="330"/>
      <c r="N743" s="348"/>
      <c r="O743" s="395"/>
    </row>
    <row r="744" hidden="1">
      <c r="A744" s="398"/>
      <c r="B744" s="325" t="str">
        <f t="shared" si="30"/>
        <v/>
      </c>
      <c r="C744" s="180" t="str">
        <f>L744&amp;F728&amp;D744</f>
        <v>...6</v>
      </c>
      <c r="D744" s="326">
        <v>6.0</v>
      </c>
      <c r="E744" s="327"/>
      <c r="F744" s="328"/>
      <c r="G744" s="328"/>
      <c r="H744" s="328"/>
      <c r="I744" s="329"/>
      <c r="J744" s="330"/>
      <c r="K744" s="366"/>
      <c r="L744" s="330"/>
      <c r="N744" s="348"/>
      <c r="O744" s="398"/>
    </row>
    <row r="745" hidden="1">
      <c r="A745" s="398"/>
      <c r="B745" s="325" t="str">
        <f t="shared" si="30"/>
        <v/>
      </c>
      <c r="C745" s="180" t="str">
        <f>L745&amp;F728&amp;D745</f>
        <v>...7</v>
      </c>
      <c r="D745" s="326">
        <v>7.0</v>
      </c>
      <c r="E745" s="327"/>
      <c r="F745" s="328"/>
      <c r="G745" s="328"/>
      <c r="H745" s="328"/>
      <c r="I745" s="329"/>
      <c r="J745" s="330"/>
      <c r="K745" s="366"/>
      <c r="L745" s="330"/>
      <c r="N745" s="348"/>
      <c r="O745" s="398"/>
    </row>
    <row r="746" hidden="1">
      <c r="A746" s="398"/>
      <c r="B746" s="325" t="str">
        <f t="shared" si="30"/>
        <v/>
      </c>
      <c r="C746" s="180" t="str">
        <f>L746&amp;F728&amp;D746</f>
        <v>...8</v>
      </c>
      <c r="D746" s="326">
        <v>8.0</v>
      </c>
      <c r="E746" s="327"/>
      <c r="F746" s="328"/>
      <c r="G746" s="328"/>
      <c r="H746" s="328"/>
      <c r="I746" s="329"/>
      <c r="J746" s="330"/>
      <c r="K746" s="366"/>
      <c r="L746" s="330"/>
      <c r="N746" s="348"/>
      <c r="O746" s="398"/>
    </row>
    <row r="747" hidden="1">
      <c r="A747" s="397"/>
      <c r="B747" s="325" t="str">
        <f t="shared" si="30"/>
        <v/>
      </c>
      <c r="C747" s="180" t="str">
        <f>L747&amp;F728&amp;D747</f>
        <v>...9</v>
      </c>
      <c r="D747" s="326">
        <v>9.0</v>
      </c>
      <c r="E747" s="327"/>
      <c r="F747" s="328"/>
      <c r="G747" s="328"/>
      <c r="H747" s="328"/>
      <c r="I747" s="329"/>
      <c r="J747" s="330"/>
      <c r="K747" s="366"/>
      <c r="L747" s="330"/>
      <c r="N747" s="348"/>
      <c r="O747" s="397"/>
    </row>
    <row r="748" hidden="1">
      <c r="A748" s="397"/>
      <c r="B748" s="325" t="str">
        <f t="shared" si="30"/>
        <v/>
      </c>
      <c r="C748" s="180" t="str">
        <f>L748&amp;F728&amp;D748</f>
        <v>...10</v>
      </c>
      <c r="D748" s="326">
        <v>10.0</v>
      </c>
      <c r="E748" s="327"/>
      <c r="F748" s="328"/>
      <c r="G748" s="328"/>
      <c r="H748" s="328"/>
      <c r="I748" s="329"/>
      <c r="J748" s="330"/>
      <c r="K748" s="366"/>
      <c r="L748" s="330"/>
      <c r="N748" s="348"/>
      <c r="O748" s="397"/>
    </row>
    <row r="749" hidden="1">
      <c r="A749" s="397"/>
      <c r="B749" s="325" t="str">
        <f t="shared" si="30"/>
        <v/>
      </c>
      <c r="C749" s="180" t="str">
        <f>L749&amp;F728&amp;D749</f>
        <v>...11</v>
      </c>
      <c r="D749" s="326">
        <v>11.0</v>
      </c>
      <c r="E749" s="327"/>
      <c r="F749" s="328"/>
      <c r="G749" s="328"/>
      <c r="H749" s="328"/>
      <c r="I749" s="329"/>
      <c r="J749" s="330"/>
      <c r="K749" s="366"/>
      <c r="L749" s="330"/>
      <c r="N749" s="348"/>
      <c r="O749" s="397"/>
    </row>
    <row r="750" hidden="1">
      <c r="A750" s="391"/>
      <c r="B750" s="325" t="str">
        <f t="shared" si="30"/>
        <v/>
      </c>
      <c r="C750" s="180" t="str">
        <f>L750&amp;F728&amp;D750</f>
        <v>...12</v>
      </c>
      <c r="D750" s="326">
        <v>12.0</v>
      </c>
      <c r="E750" s="327"/>
      <c r="F750" s="328"/>
      <c r="G750" s="328"/>
      <c r="H750" s="328"/>
      <c r="I750" s="329"/>
      <c r="J750" s="330"/>
      <c r="K750" s="366"/>
      <c r="L750" s="330"/>
      <c r="N750" s="348"/>
      <c r="O750" s="391"/>
    </row>
    <row r="751" hidden="1">
      <c r="A751" s="391"/>
      <c r="B751" s="325" t="str">
        <f t="shared" si="30"/>
        <v/>
      </c>
      <c r="C751" s="180" t="str">
        <f>L751&amp;F728&amp;D751</f>
        <v>...13</v>
      </c>
      <c r="D751" s="326">
        <v>13.0</v>
      </c>
      <c r="E751" s="327"/>
      <c r="F751" s="328"/>
      <c r="G751" s="328"/>
      <c r="H751" s="328"/>
      <c r="I751" s="329"/>
      <c r="J751" s="330"/>
      <c r="K751" s="366"/>
      <c r="L751" s="330"/>
      <c r="N751" s="348"/>
      <c r="O751" s="391"/>
    </row>
    <row r="752" hidden="1">
      <c r="A752" s="391"/>
      <c r="B752" s="325" t="str">
        <f t="shared" si="30"/>
        <v/>
      </c>
      <c r="C752" s="180" t="str">
        <f>L752&amp;F728&amp;D752</f>
        <v>...14</v>
      </c>
      <c r="D752" s="326">
        <v>14.0</v>
      </c>
      <c r="E752" s="327"/>
      <c r="F752" s="328"/>
      <c r="G752" s="328"/>
      <c r="H752" s="328"/>
      <c r="I752" s="329"/>
      <c r="J752" s="330"/>
      <c r="K752" s="366"/>
      <c r="L752" s="330"/>
      <c r="N752" s="348"/>
      <c r="O752" s="391"/>
    </row>
    <row r="753" hidden="1">
      <c r="A753" s="391"/>
      <c r="B753" s="367"/>
      <c r="C753" s="368"/>
      <c r="D753" s="369"/>
      <c r="E753" s="368"/>
      <c r="F753" s="370"/>
      <c r="G753" s="368"/>
      <c r="H753" s="368"/>
      <c r="I753" s="368"/>
      <c r="J753" s="368"/>
      <c r="K753" s="368"/>
      <c r="L753" s="368"/>
      <c r="M753" s="368"/>
      <c r="N753" s="371"/>
      <c r="O753" s="391"/>
    </row>
    <row r="754" hidden="1">
      <c r="A754" s="391"/>
      <c r="B754" s="339"/>
      <c r="D754" s="339"/>
      <c r="F754" s="340"/>
      <c r="O754" s="391"/>
    </row>
    <row r="755" ht="9.0" hidden="1" customHeight="1">
      <c r="A755" s="399"/>
      <c r="B755" s="393"/>
      <c r="D755" s="394"/>
      <c r="E755" s="395"/>
      <c r="F755" s="396"/>
      <c r="G755" s="397"/>
      <c r="H755" s="391"/>
      <c r="I755" s="391"/>
      <c r="J755" s="397"/>
      <c r="K755" s="398"/>
      <c r="L755" s="395"/>
      <c r="M755" s="399"/>
      <c r="N755" s="393"/>
      <c r="O755" s="399"/>
    </row>
    <row r="756" hidden="1">
      <c r="A756" s="399"/>
      <c r="B756" s="341"/>
      <c r="C756" s="342"/>
      <c r="D756" s="343"/>
      <c r="E756" s="342"/>
      <c r="F756" s="344"/>
      <c r="G756" s="342"/>
      <c r="H756" s="342"/>
      <c r="I756" s="342"/>
      <c r="J756" s="342"/>
      <c r="K756" s="342"/>
      <c r="L756" s="342"/>
      <c r="M756" s="342"/>
      <c r="N756" s="345"/>
      <c r="O756" s="399"/>
    </row>
    <row r="757" hidden="1">
      <c r="A757" s="395"/>
      <c r="B757" s="346">
        <v>1.0</v>
      </c>
      <c r="D757" s="287" t="s">
        <v>171</v>
      </c>
      <c r="E757" s="347" t="s">
        <v>172</v>
      </c>
      <c r="F757" s="388" t="s">
        <v>200</v>
      </c>
      <c r="G757" s="290"/>
      <c r="J757" s="291"/>
      <c r="N757" s="348"/>
      <c r="O757" s="395"/>
    </row>
    <row r="758" hidden="1">
      <c r="A758" s="395"/>
      <c r="B758" s="346">
        <v>1.0</v>
      </c>
      <c r="C758" s="202" t="str">
        <f>E758&amp;F758</f>
        <v>Nick Name:...</v>
      </c>
      <c r="D758" s="349" t="s">
        <v>173</v>
      </c>
      <c r="E758" s="347" t="s">
        <v>174</v>
      </c>
      <c r="F758" s="388" t="s">
        <v>200</v>
      </c>
      <c r="J758" s="291" t="s">
        <v>175</v>
      </c>
      <c r="L758" s="298" t="s">
        <v>200</v>
      </c>
      <c r="N758" s="348"/>
      <c r="O758" s="395"/>
    </row>
    <row r="759" hidden="1">
      <c r="A759" s="395"/>
      <c r="B759" s="346">
        <v>1.0</v>
      </c>
      <c r="C759" s="202" t="str">
        <f>E759&amp;F758</f>
        <v>Full Name:...</v>
      </c>
      <c r="D759" s="349" t="s">
        <v>177</v>
      </c>
      <c r="E759" s="347" t="s">
        <v>178</v>
      </c>
      <c r="F759" s="388" t="s">
        <v>200</v>
      </c>
      <c r="J759" s="291" t="s">
        <v>179</v>
      </c>
      <c r="L759" s="298" t="s">
        <v>200</v>
      </c>
      <c r="N759" s="348"/>
      <c r="O759" s="395"/>
    </row>
    <row r="760" hidden="1">
      <c r="A760" s="398"/>
      <c r="B760" s="346">
        <v>1.0</v>
      </c>
      <c r="C760" s="202" t="str">
        <f>E760&amp;F758</f>
        <v>Position:...</v>
      </c>
      <c r="D760" s="349" t="s">
        <v>181</v>
      </c>
      <c r="E760" s="347" t="s">
        <v>182</v>
      </c>
      <c r="F760" s="388" t="s">
        <v>200</v>
      </c>
      <c r="J760" s="291" t="s">
        <v>184</v>
      </c>
      <c r="L760" s="298" t="s">
        <v>200</v>
      </c>
      <c r="N760" s="348"/>
      <c r="O760" s="398"/>
    </row>
    <row r="761" hidden="1">
      <c r="A761" s="398"/>
      <c r="B761" s="346">
        <v>1.0</v>
      </c>
      <c r="C761" s="202" t="str">
        <f>E761&amp;F758</f>
        <v>Birth:...</v>
      </c>
      <c r="D761" s="349" t="s">
        <v>185</v>
      </c>
      <c r="E761" s="347" t="s">
        <v>186</v>
      </c>
      <c r="F761" s="289" t="s">
        <v>212</v>
      </c>
      <c r="J761" s="351"/>
      <c r="K761" s="352"/>
      <c r="L761" s="352"/>
      <c r="M761" s="352"/>
      <c r="N761" s="348"/>
      <c r="O761" s="398"/>
    </row>
    <row r="762" hidden="1">
      <c r="A762" s="398"/>
      <c r="B762" s="346">
        <v>1.0</v>
      </c>
      <c r="C762" s="202" t="str">
        <f>E762&amp;F758</f>
        <v>Experience:...</v>
      </c>
      <c r="D762" s="349" t="s">
        <v>188</v>
      </c>
      <c r="E762" s="347" t="s">
        <v>189</v>
      </c>
      <c r="F762" s="388" t="s">
        <v>200</v>
      </c>
      <c r="J762" s="318"/>
      <c r="K762" s="352"/>
      <c r="L762" s="352"/>
      <c r="M762" s="352"/>
      <c r="N762" s="348"/>
      <c r="O762" s="398"/>
    </row>
    <row r="763" hidden="1">
      <c r="A763" s="397"/>
      <c r="B763" s="346"/>
      <c r="C763" s="374" t="str">
        <f>E763&amp;F758</f>
        <v>Quote:...</v>
      </c>
      <c r="D763" s="353" t="s">
        <v>191</v>
      </c>
      <c r="E763" s="354" t="s">
        <v>192</v>
      </c>
      <c r="F763" s="308" t="s">
        <v>200</v>
      </c>
      <c r="J763" s="318"/>
      <c r="K763" s="352"/>
      <c r="L763" s="352"/>
      <c r="M763" s="352"/>
      <c r="N763" s="348"/>
      <c r="O763" s="397"/>
    </row>
    <row r="764" hidden="1">
      <c r="A764" s="397"/>
      <c r="B764" s="346"/>
      <c r="J764" s="318"/>
      <c r="K764" s="352"/>
      <c r="L764" s="352"/>
      <c r="N764" s="348"/>
      <c r="O764" s="397"/>
    </row>
    <row r="765" hidden="1">
      <c r="A765" s="397"/>
      <c r="B765" s="356"/>
      <c r="G765" s="300" t="str">
        <f>If(H765&gt;=0,"🔴","💣")</f>
        <v>🔴</v>
      </c>
      <c r="H765" s="309">
        <f>if(F758="...",0,vlookup(F758,Summary!$E:$V,18,false))</f>
        <v>0</v>
      </c>
      <c r="J765" s="318"/>
      <c r="N765" s="348"/>
      <c r="O765" s="397"/>
    </row>
    <row r="766" hidden="1">
      <c r="A766" s="391"/>
      <c r="B766" s="356"/>
      <c r="C766" s="286" t="str">
        <f>G766&amp;F758</f>
        <v>❤️️...</v>
      </c>
      <c r="D766" s="357"/>
      <c r="E766" s="358"/>
      <c r="F766" s="359"/>
      <c r="G766" s="351" t="s">
        <v>194</v>
      </c>
      <c r="H766" s="309" t="str">
        <f>sumif(L769:L782,"complete",K769:K782)-vlookup(F758,ADDSTORE!$M$3:$O$38,3,false)</f>
        <v>#N/A</v>
      </c>
      <c r="J766" s="360"/>
      <c r="K766" s="360"/>
      <c r="N766" s="348"/>
      <c r="O766" s="391"/>
    </row>
    <row r="767" hidden="1">
      <c r="A767" s="391"/>
      <c r="B767" s="317"/>
      <c r="C767" s="318"/>
      <c r="D767" s="361"/>
      <c r="E767" s="318"/>
      <c r="F767" s="362"/>
      <c r="G767" s="318"/>
      <c r="H767" s="318"/>
      <c r="I767" s="318"/>
      <c r="J767" s="318"/>
      <c r="K767" s="318"/>
      <c r="L767" s="363"/>
      <c r="M767" s="363"/>
      <c r="N767" s="348"/>
      <c r="O767" s="391"/>
    </row>
    <row r="768" hidden="1">
      <c r="A768" s="391"/>
      <c r="B768" s="317"/>
      <c r="C768" s="318"/>
      <c r="D768" s="319" t="s">
        <v>195</v>
      </c>
      <c r="E768" s="320"/>
      <c r="F768" s="320"/>
      <c r="G768" s="320"/>
      <c r="H768" s="320"/>
      <c r="I768" s="321" t="s">
        <v>196</v>
      </c>
      <c r="J768" s="322" t="s">
        <v>197</v>
      </c>
      <c r="K768" s="323" t="s">
        <v>198</v>
      </c>
      <c r="L768" s="322" t="s">
        <v>199</v>
      </c>
      <c r="N768" s="348"/>
      <c r="O768" s="391"/>
    </row>
    <row r="769" hidden="1">
      <c r="A769" s="399"/>
      <c r="B769" s="325" t="str">
        <f t="shared" ref="B769:B782" si="31">if(L769="complete","🏅",if(L769="fail","💢",))</f>
        <v/>
      </c>
      <c r="C769" s="180" t="str">
        <f>L769&amp;F758&amp;D769</f>
        <v>...1</v>
      </c>
      <c r="D769" s="326">
        <v>1.0</v>
      </c>
      <c r="E769" s="327"/>
      <c r="F769" s="328"/>
      <c r="G769" s="328"/>
      <c r="H769" s="328"/>
      <c r="I769" s="329"/>
      <c r="J769" s="330"/>
      <c r="K769" s="365"/>
      <c r="L769" s="364"/>
      <c r="N769" s="348"/>
      <c r="O769" s="399"/>
    </row>
    <row r="770" hidden="1">
      <c r="A770" s="399"/>
      <c r="B770" s="325" t="str">
        <f t="shared" si="31"/>
        <v/>
      </c>
      <c r="C770" s="180" t="str">
        <f>L770&amp;F758&amp;D770</f>
        <v>...2</v>
      </c>
      <c r="D770" s="326">
        <v>2.0</v>
      </c>
      <c r="E770" s="327"/>
      <c r="F770" s="328"/>
      <c r="G770" s="328"/>
      <c r="H770" s="328"/>
      <c r="I770" s="329"/>
      <c r="J770" s="330"/>
      <c r="K770" s="366"/>
      <c r="L770" s="364"/>
      <c r="N770" s="348"/>
      <c r="O770" s="399"/>
    </row>
    <row r="771" hidden="1">
      <c r="A771" s="395"/>
      <c r="B771" s="325" t="str">
        <f t="shared" si="31"/>
        <v/>
      </c>
      <c r="C771" s="180" t="str">
        <f>L771&amp;F758&amp;D771</f>
        <v>...3</v>
      </c>
      <c r="D771" s="326">
        <v>3.0</v>
      </c>
      <c r="E771" s="327"/>
      <c r="F771" s="328"/>
      <c r="G771" s="328"/>
      <c r="H771" s="328"/>
      <c r="I771" s="329"/>
      <c r="J771" s="330"/>
      <c r="K771" s="366"/>
      <c r="L771" s="364"/>
      <c r="N771" s="348"/>
      <c r="O771" s="395"/>
    </row>
    <row r="772" hidden="1">
      <c r="A772" s="395"/>
      <c r="B772" s="325" t="str">
        <f t="shared" si="31"/>
        <v/>
      </c>
      <c r="C772" s="180" t="str">
        <f>L772&amp;F758&amp;D772</f>
        <v>...4</v>
      </c>
      <c r="D772" s="326">
        <v>4.0</v>
      </c>
      <c r="E772" s="327"/>
      <c r="F772" s="328"/>
      <c r="G772" s="328"/>
      <c r="H772" s="328"/>
      <c r="I772" s="329"/>
      <c r="J772" s="330"/>
      <c r="K772" s="365"/>
      <c r="L772" s="364"/>
      <c r="N772" s="348"/>
      <c r="O772" s="395"/>
    </row>
    <row r="773" hidden="1">
      <c r="A773" s="395"/>
      <c r="B773" s="325" t="str">
        <f t="shared" si="31"/>
        <v/>
      </c>
      <c r="C773" s="180" t="str">
        <f>L773&amp;F758&amp;D773</f>
        <v>...5</v>
      </c>
      <c r="D773" s="326">
        <v>5.0</v>
      </c>
      <c r="E773" s="327"/>
      <c r="F773" s="328"/>
      <c r="G773" s="328"/>
      <c r="H773" s="328"/>
      <c r="I773" s="329"/>
      <c r="J773" s="330"/>
      <c r="K773" s="366"/>
      <c r="L773" s="330"/>
      <c r="N773" s="348"/>
      <c r="O773" s="395"/>
    </row>
    <row r="774" hidden="1">
      <c r="A774" s="398"/>
      <c r="B774" s="325" t="str">
        <f t="shared" si="31"/>
        <v/>
      </c>
      <c r="C774" s="180" t="str">
        <f>L774&amp;F758&amp;D774</f>
        <v>...6</v>
      </c>
      <c r="D774" s="326">
        <v>6.0</v>
      </c>
      <c r="E774" s="327"/>
      <c r="F774" s="328"/>
      <c r="G774" s="328"/>
      <c r="H774" s="328"/>
      <c r="I774" s="329"/>
      <c r="J774" s="330"/>
      <c r="K774" s="366"/>
      <c r="L774" s="330"/>
      <c r="N774" s="348"/>
      <c r="O774" s="398"/>
    </row>
    <row r="775" hidden="1">
      <c r="A775" s="398"/>
      <c r="B775" s="325" t="str">
        <f t="shared" si="31"/>
        <v/>
      </c>
      <c r="C775" s="180" t="str">
        <f>L775&amp;F758&amp;D775</f>
        <v>...7</v>
      </c>
      <c r="D775" s="326">
        <v>7.0</v>
      </c>
      <c r="E775" s="327"/>
      <c r="F775" s="328"/>
      <c r="G775" s="328"/>
      <c r="H775" s="328"/>
      <c r="I775" s="329"/>
      <c r="J775" s="330"/>
      <c r="K775" s="366"/>
      <c r="L775" s="330"/>
      <c r="N775" s="348"/>
      <c r="O775" s="398"/>
    </row>
    <row r="776" hidden="1">
      <c r="A776" s="398"/>
      <c r="B776" s="325" t="str">
        <f t="shared" si="31"/>
        <v/>
      </c>
      <c r="C776" s="180" t="str">
        <f>L776&amp;F758&amp;D776</f>
        <v>...8</v>
      </c>
      <c r="D776" s="326">
        <v>8.0</v>
      </c>
      <c r="E776" s="327"/>
      <c r="F776" s="328"/>
      <c r="G776" s="328"/>
      <c r="H776" s="328"/>
      <c r="I776" s="329"/>
      <c r="J776" s="330"/>
      <c r="K776" s="366"/>
      <c r="L776" s="330"/>
      <c r="N776" s="348"/>
      <c r="O776" s="398"/>
    </row>
    <row r="777" hidden="1">
      <c r="A777" s="397"/>
      <c r="B777" s="325" t="str">
        <f t="shared" si="31"/>
        <v/>
      </c>
      <c r="C777" s="180" t="str">
        <f>L777&amp;F758&amp;D777</f>
        <v>...9</v>
      </c>
      <c r="D777" s="326">
        <v>9.0</v>
      </c>
      <c r="E777" s="327"/>
      <c r="F777" s="328"/>
      <c r="G777" s="328"/>
      <c r="H777" s="328"/>
      <c r="I777" s="329"/>
      <c r="J777" s="330"/>
      <c r="K777" s="366"/>
      <c r="L777" s="330"/>
      <c r="N777" s="348"/>
      <c r="O777" s="397"/>
    </row>
    <row r="778" hidden="1">
      <c r="A778" s="397"/>
      <c r="B778" s="325" t="str">
        <f t="shared" si="31"/>
        <v/>
      </c>
      <c r="C778" s="180" t="str">
        <f>L778&amp;F758&amp;D778</f>
        <v>...10</v>
      </c>
      <c r="D778" s="326">
        <v>10.0</v>
      </c>
      <c r="E778" s="327"/>
      <c r="F778" s="328"/>
      <c r="G778" s="328"/>
      <c r="H778" s="328"/>
      <c r="I778" s="329"/>
      <c r="J778" s="330"/>
      <c r="K778" s="366"/>
      <c r="L778" s="330"/>
      <c r="N778" s="348"/>
      <c r="O778" s="397"/>
    </row>
    <row r="779" hidden="1">
      <c r="A779" s="397"/>
      <c r="B779" s="325" t="str">
        <f t="shared" si="31"/>
        <v/>
      </c>
      <c r="C779" s="180" t="str">
        <f>L779&amp;F758&amp;D779</f>
        <v>...11</v>
      </c>
      <c r="D779" s="326">
        <v>11.0</v>
      </c>
      <c r="E779" s="327"/>
      <c r="F779" s="328"/>
      <c r="G779" s="328"/>
      <c r="H779" s="328"/>
      <c r="I779" s="329"/>
      <c r="J779" s="330"/>
      <c r="K779" s="366"/>
      <c r="L779" s="330"/>
      <c r="N779" s="348"/>
      <c r="O779" s="397"/>
    </row>
    <row r="780" hidden="1">
      <c r="A780" s="391"/>
      <c r="B780" s="325" t="str">
        <f t="shared" si="31"/>
        <v/>
      </c>
      <c r="C780" s="180" t="str">
        <f>L780&amp;F758&amp;D780</f>
        <v>...12</v>
      </c>
      <c r="D780" s="326">
        <v>12.0</v>
      </c>
      <c r="E780" s="327"/>
      <c r="F780" s="328"/>
      <c r="G780" s="328"/>
      <c r="H780" s="328"/>
      <c r="I780" s="329"/>
      <c r="J780" s="330"/>
      <c r="K780" s="366"/>
      <c r="L780" s="330"/>
      <c r="N780" s="348"/>
      <c r="O780" s="391"/>
    </row>
    <row r="781" hidden="1">
      <c r="A781" s="391"/>
      <c r="B781" s="325" t="str">
        <f t="shared" si="31"/>
        <v/>
      </c>
      <c r="C781" s="180" t="str">
        <f>L781&amp;F758&amp;D781</f>
        <v>...13</v>
      </c>
      <c r="D781" s="326">
        <v>13.0</v>
      </c>
      <c r="E781" s="327"/>
      <c r="F781" s="328"/>
      <c r="G781" s="328"/>
      <c r="H781" s="328"/>
      <c r="I781" s="329"/>
      <c r="J781" s="330"/>
      <c r="K781" s="366"/>
      <c r="L781" s="330"/>
      <c r="N781" s="348"/>
      <c r="O781" s="391"/>
    </row>
    <row r="782" hidden="1">
      <c r="A782" s="391"/>
      <c r="B782" s="325" t="str">
        <f t="shared" si="31"/>
        <v/>
      </c>
      <c r="C782" s="180" t="str">
        <f>L782&amp;F758&amp;D782</f>
        <v>...14</v>
      </c>
      <c r="D782" s="326">
        <v>14.0</v>
      </c>
      <c r="E782" s="327"/>
      <c r="F782" s="328"/>
      <c r="G782" s="328"/>
      <c r="H782" s="328"/>
      <c r="I782" s="329"/>
      <c r="J782" s="330"/>
      <c r="K782" s="366"/>
      <c r="L782" s="330"/>
      <c r="N782" s="348"/>
      <c r="O782" s="391"/>
    </row>
    <row r="783" hidden="1">
      <c r="A783" s="391"/>
      <c r="B783" s="367"/>
      <c r="C783" s="368"/>
      <c r="D783" s="369"/>
      <c r="E783" s="368"/>
      <c r="F783" s="370"/>
      <c r="G783" s="368"/>
      <c r="H783" s="368"/>
      <c r="I783" s="368"/>
      <c r="J783" s="368"/>
      <c r="K783" s="368"/>
      <c r="L783" s="368"/>
      <c r="M783" s="368"/>
      <c r="N783" s="371"/>
      <c r="O783" s="391"/>
    </row>
    <row r="784">
      <c r="A784" s="391"/>
      <c r="B784" s="264"/>
      <c r="C784" s="264"/>
      <c r="D784" s="264"/>
      <c r="E784" s="264"/>
      <c r="F784" s="264"/>
      <c r="G784" s="264" t="s">
        <v>93</v>
      </c>
      <c r="H784" s="264"/>
      <c r="I784" s="264"/>
      <c r="J784" s="264"/>
      <c r="K784" s="264"/>
      <c r="L784" s="264"/>
      <c r="M784" s="264"/>
      <c r="N784" s="264"/>
      <c r="O784" s="391"/>
    </row>
    <row r="785" ht="9.0" customHeight="1">
      <c r="A785" s="382"/>
      <c r="B785" s="383"/>
      <c r="C785" s="384"/>
      <c r="D785" s="385"/>
      <c r="E785" s="271"/>
      <c r="F785" s="386"/>
      <c r="G785" s="263"/>
      <c r="H785" s="83"/>
      <c r="I785" s="263"/>
      <c r="J785" s="266"/>
      <c r="K785" s="271"/>
      <c r="L785" s="382"/>
      <c r="M785" s="382"/>
      <c r="N785" s="382"/>
      <c r="O785" s="382"/>
    </row>
    <row r="786">
      <c r="A786" s="382"/>
      <c r="B786" s="341"/>
      <c r="C786" s="342"/>
      <c r="D786" s="343"/>
      <c r="E786" s="342"/>
      <c r="F786" s="344"/>
      <c r="G786" s="342"/>
      <c r="H786" s="342"/>
      <c r="I786" s="342"/>
      <c r="J786" s="342"/>
      <c r="K786" s="342"/>
      <c r="L786" s="342"/>
      <c r="M786" s="342"/>
      <c r="N786" s="345"/>
      <c r="O786" s="382"/>
    </row>
    <row r="787">
      <c r="A787" s="271"/>
      <c r="B787" s="346">
        <v>1.0</v>
      </c>
      <c r="D787" s="287" t="s">
        <v>171</v>
      </c>
      <c r="E787" s="347" t="s">
        <v>172</v>
      </c>
      <c r="F787" s="404" t="s">
        <v>98</v>
      </c>
      <c r="G787" s="290"/>
      <c r="J787" s="291"/>
      <c r="N787" s="348"/>
      <c r="O787" s="271"/>
    </row>
    <row r="788">
      <c r="A788" s="271"/>
      <c r="B788" s="346">
        <v>1.0</v>
      </c>
      <c r="C788" s="202" t="str">
        <f>E788&amp;F788</f>
        <v>Nick Name:Luat.000</v>
      </c>
      <c r="D788" s="349" t="s">
        <v>173</v>
      </c>
      <c r="E788" s="347" t="s">
        <v>174</v>
      </c>
      <c r="F788" s="404" t="s">
        <v>19</v>
      </c>
      <c r="J788" s="291" t="s">
        <v>175</v>
      </c>
      <c r="L788" s="298" t="s">
        <v>200</v>
      </c>
      <c r="N788" s="348"/>
      <c r="O788" s="271"/>
    </row>
    <row r="789">
      <c r="A789" s="271"/>
      <c r="B789" s="346">
        <v>1.0</v>
      </c>
      <c r="C789" s="202" t="str">
        <f>E789&amp;F788</f>
        <v>Full Name:Luat.000</v>
      </c>
      <c r="D789" s="349" t="s">
        <v>177</v>
      </c>
      <c r="E789" s="347" t="s">
        <v>178</v>
      </c>
      <c r="F789" s="289" t="s">
        <v>268</v>
      </c>
      <c r="J789" s="291" t="s">
        <v>179</v>
      </c>
      <c r="L789" s="298" t="s">
        <v>200</v>
      </c>
      <c r="N789" s="348"/>
      <c r="O789" s="271"/>
    </row>
    <row r="790">
      <c r="A790" s="266"/>
      <c r="B790" s="346">
        <v>1.0</v>
      </c>
      <c r="C790" s="202" t="str">
        <f>E790&amp;F788</f>
        <v>Position:Luat.000</v>
      </c>
      <c r="D790" s="349" t="s">
        <v>181</v>
      </c>
      <c r="E790" s="347" t="s">
        <v>182</v>
      </c>
      <c r="F790" s="289" t="s">
        <v>269</v>
      </c>
      <c r="J790" s="291" t="s">
        <v>184</v>
      </c>
      <c r="L790" s="298" t="s">
        <v>200</v>
      </c>
      <c r="N790" s="348"/>
      <c r="O790" s="266"/>
    </row>
    <row r="791">
      <c r="A791" s="266"/>
      <c r="B791" s="346">
        <v>1.0</v>
      </c>
      <c r="C791" s="202" t="str">
        <f>E791&amp;F788</f>
        <v>Birth:Luat.000</v>
      </c>
      <c r="D791" s="349" t="s">
        <v>185</v>
      </c>
      <c r="E791" s="347" t="s">
        <v>186</v>
      </c>
      <c r="F791" s="350" t="s">
        <v>270</v>
      </c>
      <c r="J791" s="351"/>
      <c r="K791" s="352"/>
      <c r="L791" s="352"/>
      <c r="M791" s="352"/>
      <c r="N791" s="348"/>
      <c r="O791" s="266"/>
    </row>
    <row r="792">
      <c r="A792" s="266"/>
      <c r="B792" s="346">
        <v>1.0</v>
      </c>
      <c r="C792" s="202" t="str">
        <f>E792&amp;F788</f>
        <v>Experience:Luat.000</v>
      </c>
      <c r="D792" s="349" t="s">
        <v>188</v>
      </c>
      <c r="E792" s="347" t="s">
        <v>189</v>
      </c>
      <c r="F792" s="289" t="s">
        <v>271</v>
      </c>
      <c r="J792" s="318"/>
      <c r="K792" s="352"/>
      <c r="L792" s="352"/>
      <c r="M792" s="352"/>
      <c r="N792" s="348"/>
      <c r="O792" s="266"/>
    </row>
    <row r="793">
      <c r="A793" s="263"/>
      <c r="B793" s="346"/>
      <c r="C793" s="374" t="str">
        <f>E793&amp;F788</f>
        <v>Quote:Luat.000</v>
      </c>
      <c r="D793" s="353" t="s">
        <v>191</v>
      </c>
      <c r="E793" s="354" t="s">
        <v>192</v>
      </c>
      <c r="F793" s="355" t="s">
        <v>272</v>
      </c>
      <c r="J793" s="318"/>
      <c r="K793" s="352"/>
      <c r="L793" s="352"/>
      <c r="M793" s="352"/>
      <c r="N793" s="348"/>
      <c r="O793" s="263"/>
    </row>
    <row r="794">
      <c r="A794" s="263"/>
      <c r="B794" s="346"/>
      <c r="J794" s="318"/>
      <c r="K794" s="352"/>
      <c r="L794" s="352"/>
      <c r="N794" s="348"/>
      <c r="O794" s="263"/>
    </row>
    <row r="795">
      <c r="A795" s="263"/>
      <c r="B795" s="356"/>
      <c r="G795" s="300" t="str">
        <f>If(H795&gt;=0,"🔴","💣")</f>
        <v>🔴</v>
      </c>
      <c r="H795" s="309">
        <f>if(F788="...",0,vlookup(F788,Summary!$E:$V,18,false))</f>
        <v>0</v>
      </c>
      <c r="J795" s="318"/>
      <c r="N795" s="348"/>
      <c r="O795" s="263"/>
    </row>
    <row r="796">
      <c r="A796" s="83"/>
      <c r="B796" s="356"/>
      <c r="C796" s="286" t="str">
        <f>G796&amp;F788</f>
        <v>❤️️Luat.000</v>
      </c>
      <c r="D796" s="357"/>
      <c r="E796" s="358"/>
      <c r="F796" s="359"/>
      <c r="G796" s="351" t="s">
        <v>194</v>
      </c>
      <c r="H796" s="309">
        <f>sumif(L799:L812,"complete",K799:K812)-vlookup(F788,ADDSTORE!$M$3:$O$38,3,false)</f>
        <v>0</v>
      </c>
      <c r="J796" s="360"/>
      <c r="K796" s="360"/>
      <c r="N796" s="348"/>
      <c r="O796" s="83"/>
    </row>
    <row r="797">
      <c r="A797" s="83"/>
      <c r="B797" s="317"/>
      <c r="C797" s="318"/>
      <c r="D797" s="361"/>
      <c r="E797" s="318"/>
      <c r="F797" s="362"/>
      <c r="G797" s="318"/>
      <c r="H797" s="318"/>
      <c r="I797" s="318"/>
      <c r="J797" s="318"/>
      <c r="K797" s="318"/>
      <c r="L797" s="363"/>
      <c r="M797" s="363"/>
      <c r="N797" s="348"/>
      <c r="O797" s="83"/>
    </row>
    <row r="798">
      <c r="A798" s="83"/>
      <c r="B798" s="317"/>
      <c r="C798" s="318"/>
      <c r="D798" s="319" t="s">
        <v>195</v>
      </c>
      <c r="E798" s="320"/>
      <c r="F798" s="320"/>
      <c r="G798" s="320"/>
      <c r="H798" s="320"/>
      <c r="I798" s="321" t="s">
        <v>196</v>
      </c>
      <c r="J798" s="322" t="s">
        <v>197</v>
      </c>
      <c r="K798" s="323" t="s">
        <v>198</v>
      </c>
      <c r="L798" s="322" t="s">
        <v>199</v>
      </c>
      <c r="N798" s="348"/>
      <c r="O798" s="83"/>
    </row>
    <row r="799">
      <c r="A799" s="382"/>
      <c r="B799" s="325" t="str">
        <f t="shared" ref="B799:B812" si="32">if(L799="complete","🏅",if(L799="fail","💢",))</f>
        <v/>
      </c>
      <c r="C799" s="180" t="str">
        <f>L799&amp;F788&amp;D799</f>
        <v>Luat.0001</v>
      </c>
      <c r="D799" s="326">
        <v>1.0</v>
      </c>
      <c r="E799" s="327"/>
      <c r="F799" s="328"/>
      <c r="G799" s="328"/>
      <c r="H799" s="328"/>
      <c r="I799" s="329"/>
      <c r="J799" s="330"/>
      <c r="K799" s="365"/>
      <c r="L799" s="364"/>
      <c r="N799" s="348"/>
      <c r="O799" s="382"/>
    </row>
    <row r="800">
      <c r="A800" s="382"/>
      <c r="B800" s="325" t="str">
        <f t="shared" si="32"/>
        <v/>
      </c>
      <c r="C800" s="180" t="str">
        <f>L800&amp;F788&amp;D800</f>
        <v>Luat.0002</v>
      </c>
      <c r="D800" s="326">
        <v>2.0</v>
      </c>
      <c r="E800" s="327"/>
      <c r="F800" s="328"/>
      <c r="G800" s="328"/>
      <c r="H800" s="328"/>
      <c r="I800" s="329"/>
      <c r="J800" s="330"/>
      <c r="K800" s="366"/>
      <c r="L800" s="364"/>
      <c r="N800" s="348"/>
      <c r="O800" s="382"/>
    </row>
    <row r="801">
      <c r="A801" s="271"/>
      <c r="B801" s="325" t="str">
        <f t="shared" si="32"/>
        <v/>
      </c>
      <c r="C801" s="180" t="str">
        <f>L801&amp;F788&amp;D801</f>
        <v>Luat.0003</v>
      </c>
      <c r="D801" s="326">
        <v>3.0</v>
      </c>
      <c r="E801" s="327"/>
      <c r="F801" s="328"/>
      <c r="G801" s="328"/>
      <c r="H801" s="328"/>
      <c r="I801" s="329"/>
      <c r="J801" s="330"/>
      <c r="K801" s="366"/>
      <c r="L801" s="364"/>
      <c r="N801" s="348"/>
      <c r="O801" s="271"/>
    </row>
    <row r="802">
      <c r="A802" s="271"/>
      <c r="B802" s="325" t="str">
        <f t="shared" si="32"/>
        <v/>
      </c>
      <c r="C802" s="180" t="str">
        <f>L802&amp;F788&amp;D802</f>
        <v>Luat.0004</v>
      </c>
      <c r="D802" s="326">
        <v>4.0</v>
      </c>
      <c r="E802" s="327"/>
      <c r="F802" s="328"/>
      <c r="G802" s="328"/>
      <c r="H802" s="328"/>
      <c r="I802" s="329"/>
      <c r="J802" s="330"/>
      <c r="K802" s="365"/>
      <c r="L802" s="364"/>
      <c r="N802" s="348"/>
      <c r="O802" s="271"/>
    </row>
    <row r="803">
      <c r="A803" s="271"/>
      <c r="B803" s="325" t="str">
        <f t="shared" si="32"/>
        <v/>
      </c>
      <c r="C803" s="180" t="str">
        <f>L803&amp;F788&amp;D803</f>
        <v>Luat.0005</v>
      </c>
      <c r="D803" s="326">
        <v>5.0</v>
      </c>
      <c r="E803" s="327"/>
      <c r="F803" s="328"/>
      <c r="G803" s="328"/>
      <c r="H803" s="328"/>
      <c r="I803" s="329"/>
      <c r="J803" s="330"/>
      <c r="K803" s="366"/>
      <c r="L803" s="330"/>
      <c r="N803" s="348"/>
      <c r="O803" s="271"/>
    </row>
    <row r="804">
      <c r="A804" s="266"/>
      <c r="B804" s="325" t="str">
        <f t="shared" si="32"/>
        <v/>
      </c>
      <c r="C804" s="180" t="str">
        <f>L804&amp;F788&amp;D804</f>
        <v>Luat.0006</v>
      </c>
      <c r="D804" s="326">
        <v>6.0</v>
      </c>
      <c r="E804" s="327"/>
      <c r="F804" s="328"/>
      <c r="G804" s="328"/>
      <c r="H804" s="328"/>
      <c r="I804" s="329"/>
      <c r="J804" s="330"/>
      <c r="K804" s="366"/>
      <c r="L804" s="330"/>
      <c r="N804" s="348"/>
      <c r="O804" s="266"/>
    </row>
    <row r="805">
      <c r="A805" s="266"/>
      <c r="B805" s="325" t="str">
        <f t="shared" si="32"/>
        <v/>
      </c>
      <c r="C805" s="180" t="str">
        <f>L805&amp;F788&amp;D805</f>
        <v>Luat.0007</v>
      </c>
      <c r="D805" s="326">
        <v>7.0</v>
      </c>
      <c r="E805" s="327"/>
      <c r="F805" s="328"/>
      <c r="G805" s="328"/>
      <c r="H805" s="328"/>
      <c r="I805" s="329"/>
      <c r="J805" s="330"/>
      <c r="K805" s="366"/>
      <c r="L805" s="330"/>
      <c r="N805" s="348"/>
      <c r="O805" s="266"/>
    </row>
    <row r="806">
      <c r="A806" s="266"/>
      <c r="B806" s="325" t="str">
        <f t="shared" si="32"/>
        <v/>
      </c>
      <c r="C806" s="180" t="str">
        <f>L806&amp;F788&amp;D806</f>
        <v>Luat.0008</v>
      </c>
      <c r="D806" s="326">
        <v>8.0</v>
      </c>
      <c r="E806" s="327"/>
      <c r="F806" s="328"/>
      <c r="G806" s="328"/>
      <c r="H806" s="328"/>
      <c r="I806" s="329"/>
      <c r="J806" s="330"/>
      <c r="K806" s="366"/>
      <c r="L806" s="330"/>
      <c r="N806" s="348"/>
      <c r="O806" s="266"/>
    </row>
    <row r="807">
      <c r="A807" s="263"/>
      <c r="B807" s="325" t="str">
        <f t="shared" si="32"/>
        <v/>
      </c>
      <c r="C807" s="180" t="str">
        <f>L807&amp;F788&amp;D807</f>
        <v>Luat.0009</v>
      </c>
      <c r="D807" s="326">
        <v>9.0</v>
      </c>
      <c r="E807" s="327"/>
      <c r="F807" s="328"/>
      <c r="G807" s="328"/>
      <c r="H807" s="328"/>
      <c r="I807" s="329"/>
      <c r="J807" s="330"/>
      <c r="K807" s="366"/>
      <c r="L807" s="330"/>
      <c r="N807" s="348"/>
      <c r="O807" s="263"/>
    </row>
    <row r="808">
      <c r="A808" s="263"/>
      <c r="B808" s="325" t="str">
        <f t="shared" si="32"/>
        <v/>
      </c>
      <c r="C808" s="180" t="str">
        <f>L808&amp;F788&amp;D808</f>
        <v>Luat.00010</v>
      </c>
      <c r="D808" s="326">
        <v>10.0</v>
      </c>
      <c r="E808" s="327"/>
      <c r="F808" s="328"/>
      <c r="G808" s="328"/>
      <c r="H808" s="328"/>
      <c r="I808" s="329"/>
      <c r="J808" s="330"/>
      <c r="K808" s="366"/>
      <c r="L808" s="330"/>
      <c r="N808" s="348"/>
      <c r="O808" s="263"/>
    </row>
    <row r="809">
      <c r="A809" s="263"/>
      <c r="B809" s="325" t="str">
        <f t="shared" si="32"/>
        <v/>
      </c>
      <c r="C809" s="180" t="str">
        <f>L809&amp;F788&amp;D809</f>
        <v>Luat.00011</v>
      </c>
      <c r="D809" s="326">
        <v>11.0</v>
      </c>
      <c r="E809" s="327"/>
      <c r="F809" s="328"/>
      <c r="G809" s="328"/>
      <c r="H809" s="328"/>
      <c r="I809" s="329"/>
      <c r="J809" s="330"/>
      <c r="K809" s="366"/>
      <c r="L809" s="330"/>
      <c r="N809" s="348"/>
      <c r="O809" s="263"/>
    </row>
    <row r="810">
      <c r="A810" s="83"/>
      <c r="B810" s="325" t="str">
        <f t="shared" si="32"/>
        <v/>
      </c>
      <c r="C810" s="180" t="str">
        <f>L810&amp;F788&amp;D810</f>
        <v>Luat.00012</v>
      </c>
      <c r="D810" s="326">
        <v>12.0</v>
      </c>
      <c r="E810" s="327"/>
      <c r="F810" s="328"/>
      <c r="G810" s="328"/>
      <c r="H810" s="328"/>
      <c r="I810" s="329"/>
      <c r="J810" s="330"/>
      <c r="K810" s="366"/>
      <c r="L810" s="330"/>
      <c r="N810" s="348"/>
      <c r="O810" s="83"/>
    </row>
    <row r="811">
      <c r="A811" s="83"/>
      <c r="B811" s="325" t="str">
        <f t="shared" si="32"/>
        <v/>
      </c>
      <c r="C811" s="180" t="str">
        <f>L811&amp;F788&amp;D811</f>
        <v>Luat.00013</v>
      </c>
      <c r="D811" s="326">
        <v>13.0</v>
      </c>
      <c r="E811" s="327"/>
      <c r="F811" s="328"/>
      <c r="G811" s="328"/>
      <c r="H811" s="328"/>
      <c r="I811" s="329"/>
      <c r="J811" s="330"/>
      <c r="K811" s="366"/>
      <c r="L811" s="330"/>
      <c r="N811" s="348"/>
      <c r="O811" s="83"/>
    </row>
    <row r="812">
      <c r="A812" s="83"/>
      <c r="B812" s="325" t="str">
        <f t="shared" si="32"/>
        <v/>
      </c>
      <c r="C812" s="180" t="str">
        <f>L812&amp;F788&amp;D812</f>
        <v>Luat.00014</v>
      </c>
      <c r="D812" s="326">
        <v>14.0</v>
      </c>
      <c r="E812" s="327"/>
      <c r="F812" s="328"/>
      <c r="G812" s="328"/>
      <c r="H812" s="328"/>
      <c r="I812" s="329"/>
      <c r="J812" s="330"/>
      <c r="K812" s="366"/>
      <c r="L812" s="330"/>
      <c r="N812" s="348"/>
      <c r="O812" s="83"/>
    </row>
    <row r="813">
      <c r="A813" s="83"/>
      <c r="B813" s="367"/>
      <c r="C813" s="368"/>
      <c r="D813" s="369"/>
      <c r="E813" s="368"/>
      <c r="F813" s="370"/>
      <c r="G813" s="368"/>
      <c r="H813" s="368"/>
      <c r="I813" s="368"/>
      <c r="J813" s="368"/>
      <c r="K813" s="368"/>
      <c r="L813" s="368"/>
      <c r="M813" s="368"/>
      <c r="N813" s="371"/>
      <c r="O813" s="83"/>
    </row>
    <row r="814">
      <c r="A814" s="83"/>
      <c r="B814" s="339"/>
      <c r="D814" s="339"/>
      <c r="F814" s="340"/>
      <c r="O814" s="83"/>
    </row>
    <row r="815" ht="9.0" hidden="1" customHeight="1">
      <c r="A815" s="382"/>
      <c r="B815" s="383"/>
      <c r="C815" s="384"/>
      <c r="D815" s="385"/>
      <c r="E815" s="271"/>
      <c r="F815" s="386"/>
      <c r="G815" s="263"/>
      <c r="H815" s="83"/>
      <c r="I815" s="263"/>
      <c r="J815" s="266"/>
      <c r="K815" s="271"/>
      <c r="L815" s="382"/>
      <c r="M815" s="382"/>
      <c r="N815" s="382"/>
      <c r="O815" s="382"/>
    </row>
    <row r="816" hidden="1">
      <c r="A816" s="382"/>
      <c r="B816" s="341"/>
      <c r="C816" s="342"/>
      <c r="D816" s="343"/>
      <c r="E816" s="342"/>
      <c r="F816" s="344"/>
      <c r="G816" s="342"/>
      <c r="H816" s="342"/>
      <c r="I816" s="342"/>
      <c r="J816" s="342"/>
      <c r="K816" s="342"/>
      <c r="L816" s="342"/>
      <c r="M816" s="342"/>
      <c r="N816" s="345"/>
      <c r="O816" s="382"/>
    </row>
    <row r="817" hidden="1">
      <c r="A817" s="271"/>
      <c r="B817" s="346">
        <v>1.0</v>
      </c>
      <c r="D817" s="287" t="s">
        <v>171</v>
      </c>
      <c r="E817" s="347" t="s">
        <v>172</v>
      </c>
      <c r="F817" s="289" t="s">
        <v>273</v>
      </c>
      <c r="G817" s="290"/>
      <c r="J817" s="291"/>
      <c r="N817" s="348"/>
      <c r="O817" s="271"/>
    </row>
    <row r="818" hidden="1">
      <c r="A818" s="271"/>
      <c r="B818" s="346">
        <v>1.0</v>
      </c>
      <c r="C818" s="202" t="str">
        <f>E818&amp;F818</f>
        <v>Nick Name:Tu Anh.200</v>
      </c>
      <c r="D818" s="349" t="s">
        <v>173</v>
      </c>
      <c r="E818" s="347" t="s">
        <v>174</v>
      </c>
      <c r="F818" s="289" t="s">
        <v>274</v>
      </c>
      <c r="J818" s="291" t="s">
        <v>175</v>
      </c>
      <c r="L818" s="298" t="s">
        <v>275</v>
      </c>
      <c r="N818" s="348"/>
      <c r="O818" s="271"/>
    </row>
    <row r="819" hidden="1">
      <c r="A819" s="271"/>
      <c r="B819" s="346">
        <v>1.0</v>
      </c>
      <c r="C819" s="202" t="str">
        <f>E819&amp;F818</f>
        <v>Full Name:Tu Anh.200</v>
      </c>
      <c r="D819" s="349" t="s">
        <v>177</v>
      </c>
      <c r="E819" s="347" t="s">
        <v>178</v>
      </c>
      <c r="F819" s="289" t="s">
        <v>276</v>
      </c>
      <c r="J819" s="291" t="s">
        <v>179</v>
      </c>
      <c r="L819" s="298" t="s">
        <v>210</v>
      </c>
      <c r="N819" s="348"/>
      <c r="O819" s="271"/>
    </row>
    <row r="820" hidden="1">
      <c r="A820" s="266"/>
      <c r="B820" s="346">
        <v>1.0</v>
      </c>
      <c r="C820" s="202" t="str">
        <f>E820&amp;F818</f>
        <v>Position:Tu Anh.200</v>
      </c>
      <c r="D820" s="349" t="s">
        <v>181</v>
      </c>
      <c r="E820" s="347" t="s">
        <v>182</v>
      </c>
      <c r="F820" s="289" t="s">
        <v>149</v>
      </c>
      <c r="J820" s="291" t="s">
        <v>184</v>
      </c>
      <c r="L820" s="298" t="s">
        <v>210</v>
      </c>
      <c r="N820" s="348"/>
      <c r="O820" s="266"/>
    </row>
    <row r="821" hidden="1">
      <c r="A821" s="266"/>
      <c r="B821" s="346">
        <v>1.0</v>
      </c>
      <c r="C821" s="202" t="str">
        <f>E821&amp;F818</f>
        <v>Birth:Tu Anh.200</v>
      </c>
      <c r="D821" s="349" t="s">
        <v>185</v>
      </c>
      <c r="E821" s="347" t="s">
        <v>186</v>
      </c>
      <c r="F821" s="388" t="s">
        <v>277</v>
      </c>
      <c r="J821" s="351"/>
      <c r="K821" s="352"/>
      <c r="L821" s="352"/>
      <c r="M821" s="352"/>
      <c r="N821" s="348"/>
      <c r="O821" s="266"/>
    </row>
    <row r="822" hidden="1">
      <c r="A822" s="266"/>
      <c r="B822" s="346">
        <v>1.0</v>
      </c>
      <c r="C822" s="202" t="str">
        <f>E822&amp;F818</f>
        <v>Experience:Tu Anh.200</v>
      </c>
      <c r="D822" s="349" t="s">
        <v>188</v>
      </c>
      <c r="E822" s="347" t="s">
        <v>189</v>
      </c>
      <c r="F822" s="289" t="s">
        <v>278</v>
      </c>
      <c r="J822" s="318"/>
      <c r="K822" s="352"/>
      <c r="L822" s="352"/>
      <c r="M822" s="352"/>
      <c r="N822" s="348"/>
      <c r="O822" s="266"/>
    </row>
    <row r="823" hidden="1">
      <c r="A823" s="263"/>
      <c r="B823" s="346"/>
      <c r="C823" s="374" t="str">
        <f>E823&amp;F818</f>
        <v>Quote:Tu Anh.200</v>
      </c>
      <c r="D823" s="353" t="s">
        <v>191</v>
      </c>
      <c r="E823" s="354" t="s">
        <v>192</v>
      </c>
      <c r="F823" s="308" t="s">
        <v>279</v>
      </c>
      <c r="J823" s="318"/>
      <c r="K823" s="352"/>
      <c r="L823" s="352"/>
      <c r="M823" s="352"/>
      <c r="N823" s="348"/>
      <c r="O823" s="263"/>
    </row>
    <row r="824" hidden="1">
      <c r="A824" s="263"/>
      <c r="B824" s="346"/>
      <c r="J824" s="318"/>
      <c r="K824" s="352"/>
      <c r="L824" s="352"/>
      <c r="N824" s="348"/>
      <c r="O824" s="263"/>
    </row>
    <row r="825" hidden="1">
      <c r="A825" s="263"/>
      <c r="B825" s="356"/>
      <c r="G825" s="300" t="str">
        <f>If(H825&gt;=0,"🔴","💣")</f>
        <v>#N/A</v>
      </c>
      <c r="H825" s="309" t="str">
        <f>if(F818="...",0,vlookup(F818,Summary!$E:$V,18,false))</f>
        <v>#N/A</v>
      </c>
      <c r="J825" s="318"/>
      <c r="N825" s="348"/>
      <c r="O825" s="263"/>
    </row>
    <row r="826" hidden="1">
      <c r="A826" s="83"/>
      <c r="B826" s="356"/>
      <c r="C826" s="286" t="str">
        <f>G826&amp;F818</f>
        <v>❤️️Tu Anh.200</v>
      </c>
      <c r="D826" s="357"/>
      <c r="E826" s="358"/>
      <c r="F826" s="359"/>
      <c r="G826" s="351" t="s">
        <v>194</v>
      </c>
      <c r="H826" s="309" t="str">
        <f>sumif(L829:L842,"complete",K829:K842)-vlookup(F818,ADDSTORE!$M$3:$O$38,3,false)</f>
        <v>#N/A</v>
      </c>
      <c r="J826" s="360"/>
      <c r="K826" s="360"/>
      <c r="N826" s="348"/>
      <c r="O826" s="83"/>
    </row>
    <row r="827" hidden="1">
      <c r="A827" s="83"/>
      <c r="B827" s="317"/>
      <c r="C827" s="318"/>
      <c r="D827" s="361"/>
      <c r="E827" s="318"/>
      <c r="F827" s="362"/>
      <c r="G827" s="318"/>
      <c r="H827" s="318"/>
      <c r="I827" s="318"/>
      <c r="J827" s="318"/>
      <c r="K827" s="318"/>
      <c r="L827" s="363"/>
      <c r="M827" s="363"/>
      <c r="N827" s="348"/>
      <c r="O827" s="83"/>
    </row>
    <row r="828" hidden="1">
      <c r="A828" s="83"/>
      <c r="B828" s="317"/>
      <c r="C828" s="318"/>
      <c r="D828" s="319" t="s">
        <v>195</v>
      </c>
      <c r="E828" s="320"/>
      <c r="F828" s="320"/>
      <c r="G828" s="320"/>
      <c r="H828" s="320"/>
      <c r="I828" s="321" t="s">
        <v>196</v>
      </c>
      <c r="J828" s="322" t="s">
        <v>197</v>
      </c>
      <c r="K828" s="323" t="s">
        <v>198</v>
      </c>
      <c r="L828" s="322" t="s">
        <v>199</v>
      </c>
      <c r="N828" s="348"/>
      <c r="O828" s="83"/>
    </row>
    <row r="829" hidden="1">
      <c r="A829" s="382"/>
      <c r="B829" s="325" t="str">
        <f t="shared" ref="B829:B842" si="33">if(L829="complete","🏅",if(L829="fail","💢",))</f>
        <v/>
      </c>
      <c r="C829" s="180" t="str">
        <f>L829&amp;F818&amp;D829</f>
        <v>Tu Anh.2001</v>
      </c>
      <c r="D829" s="326">
        <v>1.0</v>
      </c>
      <c r="E829" s="327"/>
      <c r="F829" s="328"/>
      <c r="G829" s="328"/>
      <c r="H829" s="328"/>
      <c r="I829" s="329"/>
      <c r="J829" s="330"/>
      <c r="K829" s="365"/>
      <c r="L829" s="364"/>
      <c r="N829" s="348"/>
      <c r="O829" s="382"/>
    </row>
    <row r="830" hidden="1">
      <c r="A830" s="382"/>
      <c r="B830" s="325" t="str">
        <f t="shared" si="33"/>
        <v/>
      </c>
      <c r="C830" s="180" t="str">
        <f>L830&amp;F818&amp;D830</f>
        <v>Tu Anh.2002</v>
      </c>
      <c r="D830" s="326">
        <v>2.0</v>
      </c>
      <c r="E830" s="327"/>
      <c r="F830" s="328"/>
      <c r="G830" s="328"/>
      <c r="H830" s="328"/>
      <c r="I830" s="329"/>
      <c r="J830" s="330"/>
      <c r="K830" s="366"/>
      <c r="L830" s="364"/>
      <c r="N830" s="348"/>
      <c r="O830" s="382"/>
    </row>
    <row r="831" hidden="1">
      <c r="A831" s="271"/>
      <c r="B831" s="325" t="str">
        <f t="shared" si="33"/>
        <v/>
      </c>
      <c r="C831" s="180" t="str">
        <f>L831&amp;F818&amp;D831</f>
        <v>Tu Anh.2003</v>
      </c>
      <c r="D831" s="326">
        <v>3.0</v>
      </c>
      <c r="E831" s="327"/>
      <c r="F831" s="328"/>
      <c r="G831" s="328"/>
      <c r="H831" s="328"/>
      <c r="I831" s="329"/>
      <c r="J831" s="330"/>
      <c r="K831" s="366"/>
      <c r="L831" s="364"/>
      <c r="N831" s="348"/>
      <c r="O831" s="271"/>
    </row>
    <row r="832" hidden="1">
      <c r="A832" s="271"/>
      <c r="B832" s="325" t="str">
        <f t="shared" si="33"/>
        <v/>
      </c>
      <c r="C832" s="180" t="str">
        <f>L832&amp;F818&amp;D832</f>
        <v>Tu Anh.2004</v>
      </c>
      <c r="D832" s="326">
        <v>4.0</v>
      </c>
      <c r="E832" s="327"/>
      <c r="F832" s="328"/>
      <c r="G832" s="328"/>
      <c r="H832" s="328"/>
      <c r="I832" s="329"/>
      <c r="J832" s="330"/>
      <c r="K832" s="365"/>
      <c r="L832" s="364"/>
      <c r="N832" s="348"/>
      <c r="O832" s="271"/>
    </row>
    <row r="833" hidden="1">
      <c r="A833" s="271"/>
      <c r="B833" s="325" t="str">
        <f t="shared" si="33"/>
        <v/>
      </c>
      <c r="C833" s="180" t="str">
        <f>L833&amp;F818&amp;D833</f>
        <v>Tu Anh.2005</v>
      </c>
      <c r="D833" s="326">
        <v>5.0</v>
      </c>
      <c r="E833" s="327"/>
      <c r="F833" s="328"/>
      <c r="G833" s="328"/>
      <c r="H833" s="328"/>
      <c r="I833" s="329"/>
      <c r="J833" s="330"/>
      <c r="K833" s="366"/>
      <c r="L833" s="330"/>
      <c r="N833" s="348"/>
      <c r="O833" s="271"/>
    </row>
    <row r="834" hidden="1">
      <c r="A834" s="266"/>
      <c r="B834" s="325" t="str">
        <f t="shared" si="33"/>
        <v/>
      </c>
      <c r="C834" s="180" t="str">
        <f>L834&amp;F818&amp;D834</f>
        <v>Tu Anh.2006</v>
      </c>
      <c r="D834" s="326">
        <v>6.0</v>
      </c>
      <c r="E834" s="327"/>
      <c r="F834" s="328"/>
      <c r="G834" s="328"/>
      <c r="H834" s="328"/>
      <c r="I834" s="329"/>
      <c r="J834" s="330"/>
      <c r="K834" s="366"/>
      <c r="L834" s="330"/>
      <c r="N834" s="348"/>
      <c r="O834" s="266"/>
    </row>
    <row r="835" hidden="1">
      <c r="A835" s="266"/>
      <c r="B835" s="325" t="str">
        <f t="shared" si="33"/>
        <v/>
      </c>
      <c r="C835" s="180" t="str">
        <f>L835&amp;F818&amp;D835</f>
        <v>Tu Anh.2007</v>
      </c>
      <c r="D835" s="326">
        <v>7.0</v>
      </c>
      <c r="E835" s="327"/>
      <c r="F835" s="328"/>
      <c r="G835" s="328"/>
      <c r="H835" s="328"/>
      <c r="I835" s="329"/>
      <c r="J835" s="330"/>
      <c r="K835" s="366"/>
      <c r="L835" s="330"/>
      <c r="N835" s="348"/>
      <c r="O835" s="266"/>
    </row>
    <row r="836" hidden="1">
      <c r="A836" s="266"/>
      <c r="B836" s="325" t="str">
        <f t="shared" si="33"/>
        <v/>
      </c>
      <c r="C836" s="180" t="str">
        <f>L836&amp;F818&amp;D836</f>
        <v>Tu Anh.2008</v>
      </c>
      <c r="D836" s="326">
        <v>8.0</v>
      </c>
      <c r="E836" s="327"/>
      <c r="F836" s="328"/>
      <c r="G836" s="328"/>
      <c r="H836" s="328"/>
      <c r="I836" s="329"/>
      <c r="J836" s="330"/>
      <c r="K836" s="366"/>
      <c r="L836" s="330"/>
      <c r="N836" s="348"/>
      <c r="O836" s="266"/>
    </row>
    <row r="837" hidden="1">
      <c r="A837" s="263"/>
      <c r="B837" s="325" t="str">
        <f t="shared" si="33"/>
        <v/>
      </c>
      <c r="C837" s="180" t="str">
        <f>L837&amp;F818&amp;D837</f>
        <v>Tu Anh.2009</v>
      </c>
      <c r="D837" s="326">
        <v>9.0</v>
      </c>
      <c r="E837" s="327"/>
      <c r="F837" s="328"/>
      <c r="G837" s="328"/>
      <c r="H837" s="328"/>
      <c r="I837" s="329"/>
      <c r="J837" s="330"/>
      <c r="K837" s="366"/>
      <c r="L837" s="330"/>
      <c r="N837" s="348"/>
      <c r="O837" s="263"/>
    </row>
    <row r="838" hidden="1">
      <c r="A838" s="263"/>
      <c r="B838" s="325" t="str">
        <f t="shared" si="33"/>
        <v/>
      </c>
      <c r="C838" s="180" t="str">
        <f>L838&amp;F818&amp;D838</f>
        <v>Tu Anh.20010</v>
      </c>
      <c r="D838" s="326">
        <v>10.0</v>
      </c>
      <c r="E838" s="327"/>
      <c r="F838" s="328"/>
      <c r="G838" s="328"/>
      <c r="H838" s="328"/>
      <c r="I838" s="329"/>
      <c r="J838" s="330"/>
      <c r="K838" s="366"/>
      <c r="L838" s="330"/>
      <c r="N838" s="348"/>
      <c r="O838" s="263"/>
    </row>
    <row r="839" hidden="1">
      <c r="A839" s="263"/>
      <c r="B839" s="325" t="str">
        <f t="shared" si="33"/>
        <v/>
      </c>
      <c r="C839" s="180" t="str">
        <f>L839&amp;F818&amp;D839</f>
        <v>Tu Anh.20011</v>
      </c>
      <c r="D839" s="326">
        <v>11.0</v>
      </c>
      <c r="E839" s="327"/>
      <c r="F839" s="328"/>
      <c r="G839" s="328"/>
      <c r="H839" s="328"/>
      <c r="I839" s="329"/>
      <c r="J839" s="330"/>
      <c r="K839" s="366"/>
      <c r="L839" s="330"/>
      <c r="N839" s="348"/>
      <c r="O839" s="263"/>
    </row>
    <row r="840" hidden="1">
      <c r="A840" s="83"/>
      <c r="B840" s="325" t="str">
        <f t="shared" si="33"/>
        <v/>
      </c>
      <c r="C840" s="180" t="str">
        <f>L840&amp;F818&amp;D840</f>
        <v>Tu Anh.20012</v>
      </c>
      <c r="D840" s="326">
        <v>12.0</v>
      </c>
      <c r="E840" s="327"/>
      <c r="F840" s="328"/>
      <c r="G840" s="328"/>
      <c r="H840" s="328"/>
      <c r="I840" s="329"/>
      <c r="J840" s="330"/>
      <c r="K840" s="366"/>
      <c r="L840" s="330"/>
      <c r="N840" s="348"/>
      <c r="O840" s="83"/>
    </row>
    <row r="841" hidden="1">
      <c r="A841" s="83"/>
      <c r="B841" s="325" t="str">
        <f t="shared" si="33"/>
        <v/>
      </c>
      <c r="C841" s="180" t="str">
        <f>L841&amp;F818&amp;D841</f>
        <v>Tu Anh.20013</v>
      </c>
      <c r="D841" s="326">
        <v>13.0</v>
      </c>
      <c r="E841" s="327"/>
      <c r="F841" s="328"/>
      <c r="G841" s="328"/>
      <c r="H841" s="328"/>
      <c r="I841" s="329"/>
      <c r="J841" s="330"/>
      <c r="K841" s="366"/>
      <c r="L841" s="330"/>
      <c r="N841" s="348"/>
      <c r="O841" s="83"/>
    </row>
    <row r="842" hidden="1">
      <c r="A842" s="83"/>
      <c r="B842" s="325" t="str">
        <f t="shared" si="33"/>
        <v/>
      </c>
      <c r="C842" s="180" t="str">
        <f>L842&amp;F818&amp;D842</f>
        <v>Tu Anh.20014</v>
      </c>
      <c r="D842" s="326">
        <v>14.0</v>
      </c>
      <c r="E842" s="327"/>
      <c r="F842" s="328"/>
      <c r="G842" s="328"/>
      <c r="H842" s="328"/>
      <c r="I842" s="329"/>
      <c r="J842" s="330"/>
      <c r="K842" s="366"/>
      <c r="L842" s="330"/>
      <c r="N842" s="348"/>
      <c r="O842" s="83"/>
    </row>
    <row r="843" hidden="1">
      <c r="A843" s="83"/>
      <c r="B843" s="367"/>
      <c r="C843" s="368"/>
      <c r="D843" s="369"/>
      <c r="E843" s="368"/>
      <c r="F843" s="370"/>
      <c r="G843" s="368"/>
      <c r="H843" s="368"/>
      <c r="I843" s="368"/>
      <c r="J843" s="368"/>
      <c r="K843" s="368"/>
      <c r="L843" s="368"/>
      <c r="M843" s="368"/>
      <c r="N843" s="371"/>
      <c r="O843" s="83"/>
    </row>
    <row r="844" hidden="1">
      <c r="A844" s="83"/>
      <c r="B844" s="339"/>
      <c r="D844" s="339"/>
      <c r="F844" s="340"/>
      <c r="O844" s="83"/>
    </row>
    <row r="845" ht="9.0" hidden="1" customHeight="1">
      <c r="A845" s="382"/>
      <c r="B845" s="383"/>
      <c r="C845" s="384"/>
      <c r="D845" s="385"/>
      <c r="E845" s="271"/>
      <c r="F845" s="386"/>
      <c r="G845" s="263"/>
      <c r="H845" s="83"/>
      <c r="I845" s="263"/>
      <c r="J845" s="266"/>
      <c r="K845" s="271"/>
      <c r="L845" s="382"/>
      <c r="M845" s="382"/>
      <c r="N845" s="382"/>
      <c r="O845" s="382"/>
    </row>
    <row r="846" hidden="1">
      <c r="A846" s="382"/>
      <c r="B846" s="341"/>
      <c r="C846" s="342"/>
      <c r="D846" s="343"/>
      <c r="E846" s="342"/>
      <c r="F846" s="344"/>
      <c r="G846" s="342"/>
      <c r="H846" s="342"/>
      <c r="I846" s="342"/>
      <c r="J846" s="342"/>
      <c r="K846" s="342"/>
      <c r="L846" s="342"/>
      <c r="M846" s="342"/>
      <c r="N846" s="345"/>
      <c r="O846" s="382"/>
    </row>
    <row r="847" hidden="1">
      <c r="A847" s="271"/>
      <c r="B847" s="346">
        <v>1.0</v>
      </c>
      <c r="D847" s="287" t="s">
        <v>171</v>
      </c>
      <c r="E847" s="347" t="s">
        <v>172</v>
      </c>
      <c r="F847" s="289" t="s">
        <v>280</v>
      </c>
      <c r="G847" s="290"/>
      <c r="J847" s="291"/>
      <c r="N847" s="348"/>
      <c r="O847" s="271"/>
    </row>
    <row r="848" hidden="1">
      <c r="A848" s="271"/>
      <c r="B848" s="346">
        <v>1.0</v>
      </c>
      <c r="C848" s="202" t="str">
        <f>E848&amp;F848</f>
        <v>Nick Name:Lien.300</v>
      </c>
      <c r="D848" s="349" t="s">
        <v>173</v>
      </c>
      <c r="E848" s="347" t="s">
        <v>174</v>
      </c>
      <c r="F848" s="289" t="s">
        <v>281</v>
      </c>
      <c r="J848" s="291" t="s">
        <v>175</v>
      </c>
      <c r="L848" s="298" t="s">
        <v>257</v>
      </c>
      <c r="N848" s="348"/>
      <c r="O848" s="271"/>
    </row>
    <row r="849" hidden="1">
      <c r="A849" s="271"/>
      <c r="B849" s="346">
        <v>1.0</v>
      </c>
      <c r="C849" s="202" t="str">
        <f>E849&amp;F848</f>
        <v>Full Name:Lien.300</v>
      </c>
      <c r="D849" s="349" t="s">
        <v>177</v>
      </c>
      <c r="E849" s="347" t="s">
        <v>178</v>
      </c>
      <c r="F849" s="289" t="s">
        <v>282</v>
      </c>
      <c r="J849" s="291" t="s">
        <v>179</v>
      </c>
      <c r="L849" s="298" t="s">
        <v>210</v>
      </c>
      <c r="N849" s="348"/>
      <c r="O849" s="271"/>
    </row>
    <row r="850" hidden="1">
      <c r="A850" s="266"/>
      <c r="B850" s="346">
        <v>1.0</v>
      </c>
      <c r="C850" s="202" t="str">
        <f>E850&amp;F848</f>
        <v>Position:Lien.300</v>
      </c>
      <c r="D850" s="349" t="s">
        <v>181</v>
      </c>
      <c r="E850" s="347" t="s">
        <v>182</v>
      </c>
      <c r="F850" s="388" t="s">
        <v>283</v>
      </c>
      <c r="J850" s="291" t="s">
        <v>184</v>
      </c>
      <c r="L850" s="298" t="s">
        <v>180</v>
      </c>
      <c r="N850" s="348"/>
      <c r="O850" s="266"/>
    </row>
    <row r="851" hidden="1">
      <c r="A851" s="266"/>
      <c r="B851" s="346">
        <v>1.0</v>
      </c>
      <c r="C851" s="202" t="str">
        <f>E851&amp;F848</f>
        <v>Birth:Lien.300</v>
      </c>
      <c r="D851" s="349" t="s">
        <v>185</v>
      </c>
      <c r="E851" s="347" t="s">
        <v>186</v>
      </c>
      <c r="F851" s="388" t="s">
        <v>200</v>
      </c>
      <c r="J851" s="351"/>
      <c r="K851" s="352"/>
      <c r="L851" s="352"/>
      <c r="M851" s="352"/>
      <c r="N851" s="348"/>
      <c r="O851" s="266"/>
    </row>
    <row r="852" hidden="1">
      <c r="A852" s="266"/>
      <c r="B852" s="346">
        <v>1.0</v>
      </c>
      <c r="C852" s="202" t="str">
        <f>E852&amp;F848</f>
        <v>Experience:Lien.300</v>
      </c>
      <c r="D852" s="349" t="s">
        <v>188</v>
      </c>
      <c r="E852" s="347" t="s">
        <v>189</v>
      </c>
      <c r="F852" s="388" t="s">
        <v>284</v>
      </c>
      <c r="J852" s="318"/>
      <c r="K852" s="352"/>
      <c r="L852" s="352"/>
      <c r="M852" s="352"/>
      <c r="N852" s="348"/>
      <c r="O852" s="266"/>
    </row>
    <row r="853" hidden="1">
      <c r="A853" s="263"/>
      <c r="B853" s="346"/>
      <c r="C853" s="374" t="str">
        <f>E853&amp;F848</f>
        <v>Quote:Lien.300</v>
      </c>
      <c r="D853" s="353" t="s">
        <v>191</v>
      </c>
      <c r="E853" s="354" t="s">
        <v>192</v>
      </c>
      <c r="F853" s="308" t="s">
        <v>285</v>
      </c>
      <c r="J853" s="318"/>
      <c r="K853" s="405"/>
      <c r="L853" s="352"/>
      <c r="M853" s="352"/>
      <c r="N853" s="348"/>
      <c r="O853" s="263"/>
    </row>
    <row r="854" hidden="1">
      <c r="A854" s="263"/>
      <c r="B854" s="346"/>
      <c r="J854" s="318"/>
      <c r="K854" s="405"/>
      <c r="L854" s="352"/>
      <c r="N854" s="348"/>
      <c r="O854" s="263"/>
    </row>
    <row r="855" hidden="1">
      <c r="A855" s="263"/>
      <c r="B855" s="356"/>
      <c r="G855" s="300" t="str">
        <f>If(H855&gt;=0,"🔴","💣")</f>
        <v>#N/A</v>
      </c>
      <c r="H855" s="309" t="str">
        <f>if(F848="...",0,vlookup(F848,Summary!$E:$V,18,false))</f>
        <v>#N/A</v>
      </c>
      <c r="J855" s="318"/>
      <c r="N855" s="348"/>
      <c r="O855" s="263"/>
    </row>
    <row r="856" hidden="1">
      <c r="A856" s="83"/>
      <c r="B856" s="356"/>
      <c r="C856" s="286" t="str">
        <f>G856&amp;F848</f>
        <v>❤️️Lien.300</v>
      </c>
      <c r="D856" s="357"/>
      <c r="E856" s="358"/>
      <c r="F856" s="359"/>
      <c r="G856" s="351" t="s">
        <v>194</v>
      </c>
      <c r="H856" s="309" t="str">
        <f>sumif(L859:L872,"complete",K859:K872)-vlookup(F848,ADDSTORE!$M$3:$O$38,3,false)</f>
        <v>#N/A</v>
      </c>
      <c r="J856" s="360"/>
      <c r="K856" s="360"/>
      <c r="N856" s="348"/>
      <c r="O856" s="83"/>
    </row>
    <row r="857" hidden="1">
      <c r="A857" s="83"/>
      <c r="B857" s="317"/>
      <c r="C857" s="318"/>
      <c r="D857" s="361"/>
      <c r="E857" s="318"/>
      <c r="F857" s="362"/>
      <c r="G857" s="318"/>
      <c r="H857" s="318"/>
      <c r="I857" s="318"/>
      <c r="J857" s="318"/>
      <c r="K857" s="318"/>
      <c r="L857" s="363"/>
      <c r="M857" s="363"/>
      <c r="N857" s="348"/>
      <c r="O857" s="83"/>
    </row>
    <row r="858" hidden="1">
      <c r="A858" s="83"/>
      <c r="B858" s="317"/>
      <c r="C858" s="318"/>
      <c r="D858" s="319" t="s">
        <v>195</v>
      </c>
      <c r="E858" s="320"/>
      <c r="F858" s="320"/>
      <c r="G858" s="320"/>
      <c r="H858" s="320"/>
      <c r="I858" s="321" t="s">
        <v>196</v>
      </c>
      <c r="J858" s="322" t="s">
        <v>197</v>
      </c>
      <c r="K858" s="323" t="s">
        <v>198</v>
      </c>
      <c r="L858" s="322" t="s">
        <v>199</v>
      </c>
      <c r="N858" s="348"/>
      <c r="O858" s="83"/>
    </row>
    <row r="859" hidden="1">
      <c r="A859" s="382"/>
      <c r="B859" s="325" t="str">
        <f t="shared" ref="B859:B872" si="34">if(L859="complete","🏅",if(L859="fail","💢",))</f>
        <v/>
      </c>
      <c r="C859" s="180" t="str">
        <f>L859&amp;F848&amp;D859</f>
        <v>Lien.3001</v>
      </c>
      <c r="D859" s="326">
        <v>1.0</v>
      </c>
      <c r="E859" s="327"/>
      <c r="F859" s="328"/>
      <c r="G859" s="328"/>
      <c r="H859" s="328"/>
      <c r="I859" s="329"/>
      <c r="J859" s="330"/>
      <c r="K859" s="365"/>
      <c r="L859" s="364"/>
      <c r="N859" s="348"/>
      <c r="O859" s="382"/>
    </row>
    <row r="860" hidden="1">
      <c r="A860" s="382"/>
      <c r="B860" s="325" t="str">
        <f t="shared" si="34"/>
        <v/>
      </c>
      <c r="C860" s="180" t="str">
        <f>L860&amp;F848&amp;D860</f>
        <v>Lien.3002</v>
      </c>
      <c r="D860" s="326">
        <v>2.0</v>
      </c>
      <c r="E860" s="327"/>
      <c r="F860" s="328"/>
      <c r="G860" s="328"/>
      <c r="H860" s="328"/>
      <c r="I860" s="329"/>
      <c r="J860" s="330"/>
      <c r="K860" s="366"/>
      <c r="L860" s="364"/>
      <c r="N860" s="348"/>
      <c r="O860" s="382"/>
    </row>
    <row r="861" hidden="1">
      <c r="A861" s="271"/>
      <c r="B861" s="325" t="str">
        <f t="shared" si="34"/>
        <v/>
      </c>
      <c r="C861" s="180" t="str">
        <f>L861&amp;F848&amp;D861</f>
        <v>Lien.3003</v>
      </c>
      <c r="D861" s="326">
        <v>3.0</v>
      </c>
      <c r="E861" s="327"/>
      <c r="F861" s="328"/>
      <c r="G861" s="328"/>
      <c r="H861" s="328"/>
      <c r="I861" s="329"/>
      <c r="J861" s="330"/>
      <c r="K861" s="366"/>
      <c r="L861" s="364"/>
      <c r="N861" s="348"/>
      <c r="O861" s="271"/>
    </row>
    <row r="862" hidden="1">
      <c r="A862" s="271"/>
      <c r="B862" s="325" t="str">
        <f t="shared" si="34"/>
        <v/>
      </c>
      <c r="C862" s="180" t="str">
        <f>L862&amp;F848&amp;D862</f>
        <v>Lien.3004</v>
      </c>
      <c r="D862" s="326">
        <v>4.0</v>
      </c>
      <c r="E862" s="327"/>
      <c r="F862" s="328"/>
      <c r="G862" s="328"/>
      <c r="H862" s="328"/>
      <c r="I862" s="329"/>
      <c r="J862" s="330"/>
      <c r="K862" s="365"/>
      <c r="L862" s="364"/>
      <c r="N862" s="348"/>
      <c r="O862" s="271"/>
    </row>
    <row r="863" hidden="1">
      <c r="A863" s="271"/>
      <c r="B863" s="325" t="str">
        <f t="shared" si="34"/>
        <v/>
      </c>
      <c r="C863" s="180" t="str">
        <f>L863&amp;F848&amp;D863</f>
        <v>Lien.3005</v>
      </c>
      <c r="D863" s="326">
        <v>5.0</v>
      </c>
      <c r="E863" s="327"/>
      <c r="F863" s="328"/>
      <c r="G863" s="328"/>
      <c r="H863" s="328"/>
      <c r="I863" s="329"/>
      <c r="J863" s="330"/>
      <c r="K863" s="366"/>
      <c r="L863" s="330"/>
      <c r="N863" s="348"/>
      <c r="O863" s="271"/>
    </row>
    <row r="864" hidden="1">
      <c r="A864" s="266"/>
      <c r="B864" s="325" t="str">
        <f t="shared" si="34"/>
        <v/>
      </c>
      <c r="C864" s="180" t="str">
        <f>L864&amp;F848&amp;D864</f>
        <v>Lien.3006</v>
      </c>
      <c r="D864" s="326">
        <v>6.0</v>
      </c>
      <c r="E864" s="327"/>
      <c r="F864" s="328"/>
      <c r="G864" s="328"/>
      <c r="H864" s="328"/>
      <c r="I864" s="329"/>
      <c r="J864" s="330"/>
      <c r="K864" s="366"/>
      <c r="L864" s="330"/>
      <c r="N864" s="348"/>
      <c r="O864" s="266"/>
    </row>
    <row r="865" hidden="1">
      <c r="A865" s="266"/>
      <c r="B865" s="325" t="str">
        <f t="shared" si="34"/>
        <v/>
      </c>
      <c r="C865" s="180" t="str">
        <f>L865&amp;F848&amp;D865</f>
        <v>Lien.3007</v>
      </c>
      <c r="D865" s="326">
        <v>7.0</v>
      </c>
      <c r="E865" s="327"/>
      <c r="F865" s="328"/>
      <c r="G865" s="328"/>
      <c r="H865" s="328"/>
      <c r="I865" s="329"/>
      <c r="J865" s="330"/>
      <c r="K865" s="366"/>
      <c r="L865" s="330"/>
      <c r="N865" s="348"/>
      <c r="O865" s="266"/>
    </row>
    <row r="866" hidden="1">
      <c r="A866" s="266"/>
      <c r="B866" s="325" t="str">
        <f t="shared" si="34"/>
        <v/>
      </c>
      <c r="C866" s="180" t="str">
        <f>L866&amp;F848&amp;D866</f>
        <v>Lien.3008</v>
      </c>
      <c r="D866" s="326">
        <v>8.0</v>
      </c>
      <c r="E866" s="327"/>
      <c r="F866" s="328"/>
      <c r="G866" s="328"/>
      <c r="H866" s="328"/>
      <c r="I866" s="329"/>
      <c r="J866" s="330"/>
      <c r="K866" s="366"/>
      <c r="L866" s="330"/>
      <c r="N866" s="348"/>
      <c r="O866" s="266"/>
    </row>
    <row r="867" hidden="1">
      <c r="A867" s="263"/>
      <c r="B867" s="325" t="str">
        <f t="shared" si="34"/>
        <v/>
      </c>
      <c r="C867" s="180" t="str">
        <f>L867&amp;F848&amp;D867</f>
        <v>Lien.3009</v>
      </c>
      <c r="D867" s="326">
        <v>9.0</v>
      </c>
      <c r="E867" s="327"/>
      <c r="F867" s="328"/>
      <c r="G867" s="328"/>
      <c r="H867" s="328"/>
      <c r="I867" s="329"/>
      <c r="J867" s="330"/>
      <c r="K867" s="366"/>
      <c r="L867" s="330"/>
      <c r="N867" s="348"/>
      <c r="O867" s="263"/>
    </row>
    <row r="868" hidden="1">
      <c r="A868" s="263"/>
      <c r="B868" s="325" t="str">
        <f t="shared" si="34"/>
        <v/>
      </c>
      <c r="C868" s="180" t="str">
        <f>L868&amp;F848&amp;D868</f>
        <v>Lien.30010</v>
      </c>
      <c r="D868" s="326">
        <v>10.0</v>
      </c>
      <c r="E868" s="327"/>
      <c r="F868" s="328"/>
      <c r="G868" s="328"/>
      <c r="H868" s="328"/>
      <c r="I868" s="329"/>
      <c r="J868" s="330"/>
      <c r="K868" s="366"/>
      <c r="L868" s="330"/>
      <c r="N868" s="348"/>
      <c r="O868" s="263"/>
    </row>
    <row r="869" hidden="1">
      <c r="A869" s="263"/>
      <c r="B869" s="325" t="str">
        <f t="shared" si="34"/>
        <v/>
      </c>
      <c r="C869" s="180" t="str">
        <f>L869&amp;F848&amp;D869</f>
        <v>Lien.30011</v>
      </c>
      <c r="D869" s="326">
        <v>11.0</v>
      </c>
      <c r="E869" s="327"/>
      <c r="F869" s="328"/>
      <c r="G869" s="328"/>
      <c r="H869" s="328"/>
      <c r="I869" s="329"/>
      <c r="J869" s="330"/>
      <c r="K869" s="366"/>
      <c r="L869" s="330"/>
      <c r="N869" s="348"/>
      <c r="O869" s="263"/>
    </row>
    <row r="870" hidden="1">
      <c r="A870" s="83"/>
      <c r="B870" s="325" t="str">
        <f t="shared" si="34"/>
        <v/>
      </c>
      <c r="C870" s="180" t="str">
        <f>L870&amp;F848&amp;D870</f>
        <v>Lien.30012</v>
      </c>
      <c r="D870" s="326">
        <v>12.0</v>
      </c>
      <c r="E870" s="327"/>
      <c r="F870" s="328"/>
      <c r="G870" s="328"/>
      <c r="H870" s="328"/>
      <c r="I870" s="329"/>
      <c r="J870" s="330"/>
      <c r="K870" s="366"/>
      <c r="L870" s="330"/>
      <c r="N870" s="348"/>
      <c r="O870" s="83"/>
    </row>
    <row r="871" hidden="1">
      <c r="A871" s="83"/>
      <c r="B871" s="325" t="str">
        <f t="shared" si="34"/>
        <v/>
      </c>
      <c r="C871" s="180" t="str">
        <f>L871&amp;F848&amp;D871</f>
        <v>Lien.30013</v>
      </c>
      <c r="D871" s="326">
        <v>13.0</v>
      </c>
      <c r="E871" s="327"/>
      <c r="F871" s="328"/>
      <c r="G871" s="328"/>
      <c r="H871" s="328"/>
      <c r="I871" s="329"/>
      <c r="J871" s="330"/>
      <c r="K871" s="366"/>
      <c r="L871" s="330"/>
      <c r="N871" s="348"/>
      <c r="O871" s="83"/>
    </row>
    <row r="872" hidden="1">
      <c r="A872" s="83"/>
      <c r="B872" s="325" t="str">
        <f t="shared" si="34"/>
        <v/>
      </c>
      <c r="C872" s="180" t="str">
        <f>L872&amp;F848&amp;D872</f>
        <v>Lien.30014</v>
      </c>
      <c r="D872" s="326">
        <v>14.0</v>
      </c>
      <c r="E872" s="327"/>
      <c r="F872" s="328"/>
      <c r="G872" s="328"/>
      <c r="H872" s="328"/>
      <c r="I872" s="329"/>
      <c r="J872" s="330"/>
      <c r="K872" s="366"/>
      <c r="L872" s="330"/>
      <c r="N872" s="348"/>
      <c r="O872" s="83"/>
    </row>
    <row r="873" hidden="1">
      <c r="A873" s="83"/>
      <c r="B873" s="367"/>
      <c r="C873" s="368"/>
      <c r="D873" s="369"/>
      <c r="E873" s="368"/>
      <c r="F873" s="370"/>
      <c r="G873" s="368"/>
      <c r="H873" s="368"/>
      <c r="I873" s="368"/>
      <c r="J873" s="368"/>
      <c r="K873" s="368"/>
      <c r="L873" s="368"/>
      <c r="M873" s="368"/>
      <c r="N873" s="371"/>
      <c r="O873" s="83"/>
    </row>
    <row r="874" hidden="1">
      <c r="A874" s="83"/>
      <c r="B874" s="339"/>
      <c r="D874" s="339"/>
      <c r="F874" s="340"/>
      <c r="O874" s="83"/>
    </row>
    <row r="875" ht="9.0" customHeight="1">
      <c r="A875" s="382"/>
      <c r="B875" s="383"/>
      <c r="C875" s="384"/>
      <c r="D875" s="385"/>
      <c r="E875" s="271"/>
      <c r="F875" s="386"/>
      <c r="G875" s="263"/>
      <c r="H875" s="83"/>
      <c r="I875" s="263"/>
      <c r="J875" s="266"/>
      <c r="K875" s="271"/>
      <c r="L875" s="382"/>
      <c r="M875" s="382"/>
      <c r="N875" s="382"/>
      <c r="O875" s="382"/>
    </row>
    <row r="876">
      <c r="A876" s="382"/>
      <c r="B876" s="341"/>
      <c r="C876" s="342"/>
      <c r="D876" s="343"/>
      <c r="E876" s="342"/>
      <c r="F876" s="344"/>
      <c r="G876" s="342"/>
      <c r="H876" s="342"/>
      <c r="I876" s="342"/>
      <c r="J876" s="342"/>
      <c r="K876" s="342"/>
      <c r="L876" s="342"/>
      <c r="M876" s="342"/>
      <c r="N876" s="345"/>
      <c r="O876" s="382"/>
    </row>
    <row r="877">
      <c r="A877" s="271"/>
      <c r="B877" s="346">
        <v>1.0</v>
      </c>
      <c r="D877" s="287" t="s">
        <v>171</v>
      </c>
      <c r="E877" s="347" t="s">
        <v>172</v>
      </c>
      <c r="F877" s="289" t="s">
        <v>109</v>
      </c>
      <c r="G877" s="290"/>
      <c r="J877" s="291"/>
      <c r="N877" s="348"/>
      <c r="O877" s="271"/>
    </row>
    <row r="878">
      <c r="A878" s="271"/>
      <c r="B878" s="346">
        <v>1.0</v>
      </c>
      <c r="C878" s="202" t="str">
        <f>E878&amp;F878</f>
        <v>Nick Name:Sim.300</v>
      </c>
      <c r="D878" s="349" t="s">
        <v>173</v>
      </c>
      <c r="E878" s="347" t="s">
        <v>174</v>
      </c>
      <c r="F878" s="381" t="s">
        <v>22</v>
      </c>
      <c r="J878" s="291" t="s">
        <v>175</v>
      </c>
      <c r="L878" s="298" t="s">
        <v>257</v>
      </c>
      <c r="N878" s="348"/>
      <c r="O878" s="271"/>
    </row>
    <row r="879">
      <c r="A879" s="271"/>
      <c r="B879" s="346">
        <v>1.0</v>
      </c>
      <c r="C879" s="202" t="str">
        <f>E879&amp;F878</f>
        <v>Full Name:Sim.300</v>
      </c>
      <c r="D879" s="349" t="s">
        <v>177</v>
      </c>
      <c r="E879" s="347" t="s">
        <v>178</v>
      </c>
      <c r="F879" s="388" t="s">
        <v>156</v>
      </c>
      <c r="J879" s="291" t="s">
        <v>179</v>
      </c>
      <c r="L879" s="298" t="s">
        <v>210</v>
      </c>
      <c r="N879" s="348"/>
      <c r="O879" s="271"/>
    </row>
    <row r="880">
      <c r="A880" s="266"/>
      <c r="B880" s="346">
        <v>1.0</v>
      </c>
      <c r="C880" s="202" t="str">
        <f>E880&amp;F878</f>
        <v>Position:Sim.300</v>
      </c>
      <c r="D880" s="349" t="s">
        <v>181</v>
      </c>
      <c r="E880" s="347" t="s">
        <v>182</v>
      </c>
      <c r="F880" s="388" t="s">
        <v>286</v>
      </c>
      <c r="J880" s="291" t="s">
        <v>184</v>
      </c>
      <c r="L880" s="298" t="s">
        <v>180</v>
      </c>
      <c r="N880" s="348"/>
      <c r="O880" s="266"/>
    </row>
    <row r="881">
      <c r="A881" s="266"/>
      <c r="B881" s="346">
        <v>1.0</v>
      </c>
      <c r="C881" s="202" t="str">
        <f>E881&amp;F878</f>
        <v>Birth:Sim.300</v>
      </c>
      <c r="D881" s="349" t="s">
        <v>185</v>
      </c>
      <c r="E881" s="347" t="s">
        <v>186</v>
      </c>
      <c r="F881" s="388" t="s">
        <v>287</v>
      </c>
      <c r="J881" s="351"/>
      <c r="K881" s="352"/>
      <c r="L881" s="352"/>
      <c r="M881" s="352"/>
      <c r="N881" s="348"/>
      <c r="O881" s="266"/>
    </row>
    <row r="882">
      <c r="A882" s="266"/>
      <c r="B882" s="346">
        <v>1.0</v>
      </c>
      <c r="C882" s="202" t="str">
        <f>E882&amp;F878</f>
        <v>Experience:Sim.300</v>
      </c>
      <c r="D882" s="349" t="s">
        <v>188</v>
      </c>
      <c r="E882" s="347" t="s">
        <v>189</v>
      </c>
      <c r="F882" s="388" t="s">
        <v>288</v>
      </c>
      <c r="J882" s="318"/>
      <c r="K882" s="352"/>
      <c r="L882" s="352"/>
      <c r="M882" s="352"/>
      <c r="N882" s="348"/>
      <c r="O882" s="266"/>
    </row>
    <row r="883">
      <c r="A883" s="263"/>
      <c r="B883" s="346"/>
      <c r="C883" s="374" t="str">
        <f>E883&amp;F878</f>
        <v>Quote:Sim.300</v>
      </c>
      <c r="D883" s="353" t="s">
        <v>191</v>
      </c>
      <c r="E883" s="354" t="s">
        <v>192</v>
      </c>
      <c r="F883" s="308" t="s">
        <v>289</v>
      </c>
      <c r="J883" s="318"/>
      <c r="K883" s="352"/>
      <c r="L883" s="352"/>
      <c r="M883" s="352"/>
      <c r="N883" s="348"/>
      <c r="O883" s="263"/>
    </row>
    <row r="884">
      <c r="A884" s="263"/>
      <c r="B884" s="346"/>
      <c r="J884" s="318"/>
      <c r="K884" s="352"/>
      <c r="L884" s="352"/>
      <c r="N884" s="348"/>
      <c r="O884" s="263"/>
    </row>
    <row r="885">
      <c r="A885" s="263"/>
      <c r="B885" s="356"/>
      <c r="G885" s="300" t="str">
        <f>If(H885&gt;=0,"🔴","💣")</f>
        <v>🔴</v>
      </c>
      <c r="H885" s="309">
        <f>if(F878="...",0,vlookup(F878,Summary!$E:$V,18,false))</f>
        <v>0</v>
      </c>
      <c r="J885" s="318"/>
      <c r="N885" s="348"/>
      <c r="O885" s="263"/>
    </row>
    <row r="886">
      <c r="A886" s="83"/>
      <c r="B886" s="356"/>
      <c r="C886" s="286" t="str">
        <f>G886&amp;F878</f>
        <v>❤️️Sim.300</v>
      </c>
      <c r="D886" s="357"/>
      <c r="E886" s="358"/>
      <c r="F886" s="359"/>
      <c r="G886" s="351" t="s">
        <v>194</v>
      </c>
      <c r="H886" s="309">
        <f>sumif(L889:L902,"complete",K889:K902)-vlookup(F878,ADDSTORE!$M$3:$O$38,3,false)</f>
        <v>0</v>
      </c>
      <c r="J886" s="360"/>
      <c r="K886" s="360"/>
      <c r="N886" s="348"/>
      <c r="O886" s="83"/>
    </row>
    <row r="887">
      <c r="A887" s="83"/>
      <c r="B887" s="317"/>
      <c r="C887" s="318"/>
      <c r="D887" s="361"/>
      <c r="E887" s="318"/>
      <c r="F887" s="362"/>
      <c r="G887" s="318"/>
      <c r="H887" s="318"/>
      <c r="I887" s="318"/>
      <c r="J887" s="318"/>
      <c r="K887" s="318"/>
      <c r="L887" s="363"/>
      <c r="M887" s="363"/>
      <c r="N887" s="348"/>
      <c r="O887" s="83"/>
    </row>
    <row r="888">
      <c r="A888" s="83"/>
      <c r="B888" s="317"/>
      <c r="C888" s="318"/>
      <c r="D888" s="319" t="s">
        <v>195</v>
      </c>
      <c r="E888" s="320"/>
      <c r="F888" s="320"/>
      <c r="G888" s="320"/>
      <c r="H888" s="320"/>
      <c r="I888" s="321" t="s">
        <v>196</v>
      </c>
      <c r="J888" s="322" t="s">
        <v>197</v>
      </c>
      <c r="K888" s="323" t="s">
        <v>198</v>
      </c>
      <c r="L888" s="322" t="s">
        <v>199</v>
      </c>
      <c r="N888" s="348"/>
      <c r="O888" s="83"/>
    </row>
    <row r="889">
      <c r="A889" s="382"/>
      <c r="B889" s="325" t="str">
        <f t="shared" ref="B889:B902" si="35">if(L889="complete","🏅",if(L889="fail","💢",))</f>
        <v/>
      </c>
      <c r="C889" s="180" t="str">
        <f>L889&amp;F878&amp;D889</f>
        <v>Sim.3001</v>
      </c>
      <c r="D889" s="326">
        <v>1.0</v>
      </c>
      <c r="E889" s="327"/>
      <c r="F889" s="328"/>
      <c r="G889" s="328"/>
      <c r="H889" s="328"/>
      <c r="I889" s="329"/>
      <c r="J889" s="330"/>
      <c r="K889" s="365"/>
      <c r="L889" s="364"/>
      <c r="N889" s="348"/>
      <c r="O889" s="382"/>
    </row>
    <row r="890">
      <c r="A890" s="382"/>
      <c r="B890" s="325" t="str">
        <f t="shared" si="35"/>
        <v/>
      </c>
      <c r="C890" s="180" t="str">
        <f>L890&amp;F878&amp;D890</f>
        <v>Sim.3002</v>
      </c>
      <c r="D890" s="326">
        <v>2.0</v>
      </c>
      <c r="E890" s="327"/>
      <c r="F890" s="328"/>
      <c r="G890" s="328"/>
      <c r="H890" s="328"/>
      <c r="I890" s="329"/>
      <c r="J890" s="330"/>
      <c r="K890" s="366"/>
      <c r="L890" s="364"/>
      <c r="N890" s="348"/>
      <c r="O890" s="382"/>
    </row>
    <row r="891">
      <c r="A891" s="271"/>
      <c r="B891" s="325" t="str">
        <f t="shared" si="35"/>
        <v/>
      </c>
      <c r="C891" s="180" t="str">
        <f>L891&amp;F878&amp;D891</f>
        <v>Sim.3003</v>
      </c>
      <c r="D891" s="326">
        <v>3.0</v>
      </c>
      <c r="E891" s="327"/>
      <c r="F891" s="328"/>
      <c r="G891" s="328"/>
      <c r="H891" s="328"/>
      <c r="I891" s="329"/>
      <c r="J891" s="330"/>
      <c r="K891" s="366"/>
      <c r="L891" s="364"/>
      <c r="N891" s="348"/>
      <c r="O891" s="271"/>
    </row>
    <row r="892">
      <c r="A892" s="271"/>
      <c r="B892" s="325" t="str">
        <f t="shared" si="35"/>
        <v/>
      </c>
      <c r="C892" s="180" t="str">
        <f>L892&amp;F878&amp;D892</f>
        <v>Sim.3004</v>
      </c>
      <c r="D892" s="326">
        <v>4.0</v>
      </c>
      <c r="E892" s="327"/>
      <c r="F892" s="328"/>
      <c r="G892" s="328"/>
      <c r="H892" s="328"/>
      <c r="I892" s="329"/>
      <c r="J892" s="330"/>
      <c r="K892" s="365"/>
      <c r="L892" s="364"/>
      <c r="N892" s="348"/>
      <c r="O892" s="271"/>
    </row>
    <row r="893">
      <c r="A893" s="271"/>
      <c r="B893" s="325" t="str">
        <f t="shared" si="35"/>
        <v/>
      </c>
      <c r="C893" s="180" t="str">
        <f>L893&amp;F878&amp;D893</f>
        <v>Sim.3005</v>
      </c>
      <c r="D893" s="326">
        <v>5.0</v>
      </c>
      <c r="E893" s="327"/>
      <c r="F893" s="328"/>
      <c r="G893" s="328"/>
      <c r="H893" s="328"/>
      <c r="I893" s="329"/>
      <c r="J893" s="330"/>
      <c r="K893" s="366"/>
      <c r="L893" s="330"/>
      <c r="N893" s="348"/>
      <c r="O893" s="271"/>
    </row>
    <row r="894">
      <c r="A894" s="266"/>
      <c r="B894" s="325" t="str">
        <f t="shared" si="35"/>
        <v/>
      </c>
      <c r="C894" s="180" t="str">
        <f>L894&amp;F878&amp;D894</f>
        <v>Sim.3006</v>
      </c>
      <c r="D894" s="326">
        <v>6.0</v>
      </c>
      <c r="E894" s="327"/>
      <c r="F894" s="328"/>
      <c r="G894" s="328"/>
      <c r="H894" s="328"/>
      <c r="I894" s="329"/>
      <c r="J894" s="330"/>
      <c r="K894" s="366"/>
      <c r="L894" s="330"/>
      <c r="N894" s="348"/>
      <c r="O894" s="266"/>
    </row>
    <row r="895">
      <c r="A895" s="266"/>
      <c r="B895" s="325" t="str">
        <f t="shared" si="35"/>
        <v/>
      </c>
      <c r="C895" s="180" t="str">
        <f>L895&amp;F878&amp;D895</f>
        <v>Sim.3007</v>
      </c>
      <c r="D895" s="326">
        <v>7.0</v>
      </c>
      <c r="E895" s="327"/>
      <c r="F895" s="328"/>
      <c r="G895" s="328"/>
      <c r="H895" s="328"/>
      <c r="I895" s="329"/>
      <c r="J895" s="330"/>
      <c r="K895" s="366"/>
      <c r="L895" s="330"/>
      <c r="N895" s="348"/>
      <c r="O895" s="266"/>
    </row>
    <row r="896">
      <c r="A896" s="266"/>
      <c r="B896" s="325" t="str">
        <f t="shared" si="35"/>
        <v/>
      </c>
      <c r="C896" s="180" t="str">
        <f>L896&amp;F878&amp;D896</f>
        <v>Sim.3008</v>
      </c>
      <c r="D896" s="326">
        <v>8.0</v>
      </c>
      <c r="E896" s="327"/>
      <c r="F896" s="328"/>
      <c r="G896" s="328"/>
      <c r="H896" s="328"/>
      <c r="I896" s="329"/>
      <c r="J896" s="330"/>
      <c r="K896" s="366"/>
      <c r="L896" s="330"/>
      <c r="N896" s="348"/>
      <c r="O896" s="266"/>
    </row>
    <row r="897">
      <c r="A897" s="263"/>
      <c r="B897" s="325" t="str">
        <f t="shared" si="35"/>
        <v/>
      </c>
      <c r="C897" s="180" t="str">
        <f>L897&amp;F878&amp;D897</f>
        <v>Sim.3009</v>
      </c>
      <c r="D897" s="326">
        <v>9.0</v>
      </c>
      <c r="E897" s="327"/>
      <c r="F897" s="328"/>
      <c r="G897" s="328"/>
      <c r="H897" s="328"/>
      <c r="I897" s="329"/>
      <c r="J897" s="330"/>
      <c r="K897" s="366"/>
      <c r="L897" s="330"/>
      <c r="N897" s="348"/>
      <c r="O897" s="263"/>
    </row>
    <row r="898">
      <c r="A898" s="263"/>
      <c r="B898" s="325" t="str">
        <f t="shared" si="35"/>
        <v/>
      </c>
      <c r="C898" s="180" t="str">
        <f>L898&amp;F878&amp;D898</f>
        <v>Sim.30010</v>
      </c>
      <c r="D898" s="326">
        <v>10.0</v>
      </c>
      <c r="E898" s="327"/>
      <c r="F898" s="328"/>
      <c r="G898" s="328"/>
      <c r="H898" s="328"/>
      <c r="I898" s="329"/>
      <c r="J898" s="330"/>
      <c r="K898" s="366"/>
      <c r="L898" s="330"/>
      <c r="N898" s="348"/>
      <c r="O898" s="263"/>
    </row>
    <row r="899">
      <c r="A899" s="263"/>
      <c r="B899" s="325" t="str">
        <f t="shared" si="35"/>
        <v/>
      </c>
      <c r="C899" s="180" t="str">
        <f>L899&amp;F878&amp;D899</f>
        <v>Sim.30011</v>
      </c>
      <c r="D899" s="326">
        <v>11.0</v>
      </c>
      <c r="E899" s="327"/>
      <c r="F899" s="328"/>
      <c r="G899" s="328"/>
      <c r="H899" s="328"/>
      <c r="I899" s="329"/>
      <c r="J899" s="330"/>
      <c r="K899" s="366"/>
      <c r="L899" s="330"/>
      <c r="N899" s="348"/>
      <c r="O899" s="263"/>
    </row>
    <row r="900">
      <c r="A900" s="83"/>
      <c r="B900" s="325" t="str">
        <f t="shared" si="35"/>
        <v/>
      </c>
      <c r="C900" s="180" t="str">
        <f>L900&amp;F878&amp;D900</f>
        <v>Sim.30012</v>
      </c>
      <c r="D900" s="326">
        <v>12.0</v>
      </c>
      <c r="E900" s="327"/>
      <c r="F900" s="328"/>
      <c r="G900" s="328"/>
      <c r="H900" s="328"/>
      <c r="I900" s="329"/>
      <c r="J900" s="330"/>
      <c r="K900" s="366"/>
      <c r="L900" s="330"/>
      <c r="N900" s="348"/>
      <c r="O900" s="83"/>
    </row>
    <row r="901">
      <c r="A901" s="83"/>
      <c r="B901" s="325" t="str">
        <f t="shared" si="35"/>
        <v/>
      </c>
      <c r="C901" s="180" t="str">
        <f>L901&amp;F878&amp;D901</f>
        <v>Sim.30013</v>
      </c>
      <c r="D901" s="326">
        <v>13.0</v>
      </c>
      <c r="E901" s="327"/>
      <c r="F901" s="328"/>
      <c r="G901" s="328"/>
      <c r="H901" s="328"/>
      <c r="I901" s="329"/>
      <c r="J901" s="330"/>
      <c r="K901" s="366"/>
      <c r="L901" s="330"/>
      <c r="N901" s="348"/>
      <c r="O901" s="83"/>
    </row>
    <row r="902">
      <c r="A902" s="83"/>
      <c r="B902" s="325" t="str">
        <f t="shared" si="35"/>
        <v/>
      </c>
      <c r="C902" s="180" t="str">
        <f>L902&amp;F878&amp;D902</f>
        <v>Sim.30014</v>
      </c>
      <c r="D902" s="326">
        <v>14.0</v>
      </c>
      <c r="E902" s="327"/>
      <c r="F902" s="328"/>
      <c r="G902" s="328"/>
      <c r="H902" s="328"/>
      <c r="I902" s="329"/>
      <c r="J902" s="330"/>
      <c r="K902" s="366"/>
      <c r="L902" s="330"/>
      <c r="N902" s="348"/>
      <c r="O902" s="83"/>
    </row>
    <row r="903">
      <c r="A903" s="83"/>
      <c r="B903" s="367"/>
      <c r="C903" s="368"/>
      <c r="D903" s="369"/>
      <c r="E903" s="368"/>
      <c r="F903" s="370"/>
      <c r="G903" s="368"/>
      <c r="H903" s="368"/>
      <c r="I903" s="368"/>
      <c r="J903" s="368"/>
      <c r="K903" s="368"/>
      <c r="L903" s="368"/>
      <c r="M903" s="368"/>
      <c r="N903" s="371"/>
      <c r="O903" s="83"/>
    </row>
    <row r="904">
      <c r="A904" s="83"/>
      <c r="B904" s="339"/>
      <c r="D904" s="339"/>
      <c r="F904" s="340"/>
      <c r="O904" s="83"/>
    </row>
    <row r="905" ht="9.0" customHeight="1">
      <c r="A905" s="382"/>
      <c r="B905" s="383"/>
      <c r="C905" s="384"/>
      <c r="D905" s="385"/>
      <c r="E905" s="271"/>
      <c r="F905" s="386"/>
      <c r="G905" s="263"/>
      <c r="H905" s="83"/>
      <c r="I905" s="263"/>
      <c r="J905" s="266"/>
      <c r="K905" s="271"/>
      <c r="L905" s="382"/>
      <c r="M905" s="382"/>
      <c r="N905" s="382"/>
      <c r="O905" s="382"/>
    </row>
    <row r="906">
      <c r="A906" s="382"/>
      <c r="B906" s="341"/>
      <c r="C906" s="342"/>
      <c r="D906" s="343"/>
      <c r="E906" s="342"/>
      <c r="F906" s="344"/>
      <c r="G906" s="342"/>
      <c r="H906" s="342"/>
      <c r="I906" s="342"/>
      <c r="J906" s="342"/>
      <c r="K906" s="342"/>
      <c r="L906" s="342"/>
      <c r="M906" s="342"/>
      <c r="N906" s="345"/>
      <c r="O906" s="382"/>
    </row>
    <row r="907">
      <c r="A907" s="271"/>
      <c r="B907" s="346">
        <v>1.0</v>
      </c>
      <c r="D907" s="287" t="s">
        <v>171</v>
      </c>
      <c r="E907" s="347" t="s">
        <v>172</v>
      </c>
      <c r="F907" s="289" t="s">
        <v>112</v>
      </c>
      <c r="G907" s="290"/>
      <c r="J907" s="291"/>
      <c r="N907" s="348"/>
      <c r="O907" s="271"/>
    </row>
    <row r="908">
      <c r="A908" s="271"/>
      <c r="B908" s="346">
        <v>1.0</v>
      </c>
      <c r="C908" s="202" t="str">
        <f>E908&amp;F908</f>
        <v>Nick Name:Thuy.300</v>
      </c>
      <c r="D908" s="349" t="s">
        <v>173</v>
      </c>
      <c r="E908" s="347" t="s">
        <v>174</v>
      </c>
      <c r="F908" s="289" t="s">
        <v>23</v>
      </c>
      <c r="J908" s="291" t="s">
        <v>175</v>
      </c>
      <c r="L908" s="298" t="s">
        <v>290</v>
      </c>
      <c r="N908" s="348"/>
      <c r="O908" s="271"/>
    </row>
    <row r="909">
      <c r="A909" s="271"/>
      <c r="B909" s="346">
        <v>1.0</v>
      </c>
      <c r="C909" s="202" t="str">
        <f>E909&amp;F908</f>
        <v>Full Name:Thuy.300</v>
      </c>
      <c r="D909" s="349" t="s">
        <v>177</v>
      </c>
      <c r="E909" s="347" t="s">
        <v>178</v>
      </c>
      <c r="F909" s="289" t="s">
        <v>291</v>
      </c>
      <c r="J909" s="291" t="s">
        <v>179</v>
      </c>
      <c r="L909" s="298" t="s">
        <v>210</v>
      </c>
      <c r="N909" s="348"/>
      <c r="O909" s="271"/>
    </row>
    <row r="910">
      <c r="A910" s="266"/>
      <c r="B910" s="346">
        <v>1.0</v>
      </c>
      <c r="C910" s="202" t="str">
        <f>E910&amp;F908</f>
        <v>Position:Thuy.300</v>
      </c>
      <c r="D910" s="349" t="s">
        <v>181</v>
      </c>
      <c r="E910" s="347" t="s">
        <v>182</v>
      </c>
      <c r="F910" s="289" t="s">
        <v>286</v>
      </c>
      <c r="J910" s="291" t="s">
        <v>184</v>
      </c>
      <c r="L910" s="298" t="s">
        <v>180</v>
      </c>
      <c r="N910" s="348"/>
      <c r="O910" s="266"/>
    </row>
    <row r="911">
      <c r="A911" s="266"/>
      <c r="B911" s="346">
        <v>1.0</v>
      </c>
      <c r="C911" s="202" t="str">
        <f>E911&amp;F908</f>
        <v>Birth:Thuy.300</v>
      </c>
      <c r="D911" s="349" t="s">
        <v>185</v>
      </c>
      <c r="E911" s="347" t="s">
        <v>186</v>
      </c>
      <c r="F911" s="350" t="s">
        <v>292</v>
      </c>
      <c r="J911" s="351"/>
      <c r="K911" s="352"/>
      <c r="L911" s="352"/>
      <c r="M911" s="352"/>
      <c r="N911" s="348"/>
      <c r="O911" s="266"/>
    </row>
    <row r="912">
      <c r="A912" s="266"/>
      <c r="B912" s="346">
        <v>1.0</v>
      </c>
      <c r="C912" s="202" t="str">
        <f>E912&amp;F908</f>
        <v>Experience:Thuy.300</v>
      </c>
      <c r="D912" s="349" t="s">
        <v>188</v>
      </c>
      <c r="E912" s="347" t="s">
        <v>189</v>
      </c>
      <c r="F912" s="289"/>
      <c r="J912" s="318"/>
      <c r="K912" s="352"/>
      <c r="L912" s="352"/>
      <c r="M912" s="352"/>
      <c r="N912" s="348"/>
      <c r="O912" s="266"/>
    </row>
    <row r="913">
      <c r="A913" s="263"/>
      <c r="B913" s="346"/>
      <c r="C913" s="374" t="str">
        <f>E913&amp;F908</f>
        <v>Quote:Thuy.300</v>
      </c>
      <c r="D913" s="353" t="s">
        <v>191</v>
      </c>
      <c r="E913" s="354" t="s">
        <v>192</v>
      </c>
      <c r="F913" s="355" t="s">
        <v>293</v>
      </c>
      <c r="J913" s="318"/>
      <c r="K913" s="352"/>
      <c r="L913" s="352"/>
      <c r="M913" s="352"/>
      <c r="N913" s="348"/>
      <c r="O913" s="263"/>
    </row>
    <row r="914">
      <c r="A914" s="263"/>
      <c r="B914" s="346"/>
      <c r="J914" s="318"/>
      <c r="K914" s="352"/>
      <c r="L914" s="352"/>
      <c r="N914" s="348"/>
      <c r="O914" s="263"/>
    </row>
    <row r="915">
      <c r="A915" s="263"/>
      <c r="B915" s="356"/>
      <c r="G915" s="300" t="str">
        <f>If(H915&gt;=0,"🔴","💣")</f>
        <v>🔴</v>
      </c>
      <c r="H915" s="309">
        <f>if(F908="...",0,vlookup(F908,Summary!$E:$V,18,false))</f>
        <v>0</v>
      </c>
      <c r="J915" s="318"/>
      <c r="N915" s="348"/>
      <c r="O915" s="263"/>
    </row>
    <row r="916">
      <c r="A916" s="83"/>
      <c r="B916" s="356"/>
      <c r="C916" s="286" t="str">
        <f>G916&amp;F908</f>
        <v>❤️️Thuy.300</v>
      </c>
      <c r="D916" s="357"/>
      <c r="E916" s="358"/>
      <c r="F916" s="359"/>
      <c r="G916" s="351" t="s">
        <v>194</v>
      </c>
      <c r="H916" s="309">
        <f>sumif(L919:L932,"complete",K919:K932)-vlookup(F908,ADDSTORE!$M$3:$O$38,3,false)</f>
        <v>0</v>
      </c>
      <c r="J916" s="360"/>
      <c r="K916" s="360"/>
      <c r="N916" s="348"/>
      <c r="O916" s="83"/>
    </row>
    <row r="917">
      <c r="A917" s="83"/>
      <c r="B917" s="317"/>
      <c r="C917" s="318"/>
      <c r="D917" s="361"/>
      <c r="E917" s="318"/>
      <c r="F917" s="362"/>
      <c r="G917" s="318"/>
      <c r="H917" s="318"/>
      <c r="I917" s="318"/>
      <c r="J917" s="318"/>
      <c r="K917" s="318"/>
      <c r="L917" s="363"/>
      <c r="M917" s="363"/>
      <c r="N917" s="348"/>
      <c r="O917" s="83"/>
    </row>
    <row r="918">
      <c r="A918" s="83"/>
      <c r="B918" s="317"/>
      <c r="C918" s="318"/>
      <c r="D918" s="319" t="s">
        <v>195</v>
      </c>
      <c r="E918" s="320"/>
      <c r="F918" s="320"/>
      <c r="G918" s="320"/>
      <c r="H918" s="320"/>
      <c r="I918" s="321" t="s">
        <v>196</v>
      </c>
      <c r="J918" s="322" t="s">
        <v>197</v>
      </c>
      <c r="K918" s="323" t="s">
        <v>198</v>
      </c>
      <c r="L918" s="322" t="s">
        <v>199</v>
      </c>
      <c r="N918" s="348"/>
      <c r="O918" s="83"/>
    </row>
    <row r="919">
      <c r="A919" s="382"/>
      <c r="B919" s="325" t="str">
        <f t="shared" ref="B919:B932" si="36">if(L919="complete","🏅",if(L919="fail","💢",))</f>
        <v/>
      </c>
      <c r="C919" s="180" t="str">
        <f>L919&amp;F908&amp;D919</f>
        <v>Thuy.3001</v>
      </c>
      <c r="D919" s="326">
        <v>1.0</v>
      </c>
      <c r="E919" s="327"/>
      <c r="F919" s="328"/>
      <c r="G919" s="328"/>
      <c r="H919" s="328"/>
      <c r="I919" s="329"/>
      <c r="J919" s="330"/>
      <c r="K919" s="365"/>
      <c r="L919" s="364"/>
      <c r="N919" s="348"/>
      <c r="O919" s="382"/>
    </row>
    <row r="920">
      <c r="A920" s="382"/>
      <c r="B920" s="325" t="str">
        <f t="shared" si="36"/>
        <v/>
      </c>
      <c r="C920" s="180" t="str">
        <f>L920&amp;F908&amp;D920</f>
        <v>Thuy.3002</v>
      </c>
      <c r="D920" s="326">
        <v>2.0</v>
      </c>
      <c r="E920" s="327"/>
      <c r="F920" s="328"/>
      <c r="G920" s="328"/>
      <c r="H920" s="328"/>
      <c r="I920" s="329"/>
      <c r="J920" s="330"/>
      <c r="K920" s="366"/>
      <c r="L920" s="364"/>
      <c r="N920" s="348"/>
      <c r="O920" s="382"/>
    </row>
    <row r="921">
      <c r="A921" s="271"/>
      <c r="B921" s="325" t="str">
        <f t="shared" si="36"/>
        <v/>
      </c>
      <c r="C921" s="180" t="str">
        <f>L921&amp;F908&amp;D921</f>
        <v>Thuy.3003</v>
      </c>
      <c r="D921" s="326">
        <v>3.0</v>
      </c>
      <c r="E921" s="327"/>
      <c r="F921" s="328"/>
      <c r="G921" s="328"/>
      <c r="H921" s="328"/>
      <c r="I921" s="329"/>
      <c r="J921" s="330"/>
      <c r="K921" s="366"/>
      <c r="L921" s="364"/>
      <c r="N921" s="348"/>
      <c r="O921" s="271"/>
    </row>
    <row r="922">
      <c r="A922" s="271"/>
      <c r="B922" s="325" t="str">
        <f t="shared" si="36"/>
        <v/>
      </c>
      <c r="C922" s="180" t="str">
        <f>L922&amp;F908&amp;D922</f>
        <v>Thuy.3004</v>
      </c>
      <c r="D922" s="326">
        <v>4.0</v>
      </c>
      <c r="E922" s="327"/>
      <c r="F922" s="328"/>
      <c r="G922" s="328"/>
      <c r="H922" s="328"/>
      <c r="I922" s="329"/>
      <c r="J922" s="330"/>
      <c r="K922" s="365"/>
      <c r="L922" s="364"/>
      <c r="N922" s="348"/>
      <c r="O922" s="271"/>
    </row>
    <row r="923">
      <c r="A923" s="271"/>
      <c r="B923" s="325" t="str">
        <f t="shared" si="36"/>
        <v/>
      </c>
      <c r="C923" s="180" t="str">
        <f>L923&amp;F908&amp;D923</f>
        <v>Thuy.3005</v>
      </c>
      <c r="D923" s="326">
        <v>5.0</v>
      </c>
      <c r="E923" s="327"/>
      <c r="F923" s="328"/>
      <c r="G923" s="328"/>
      <c r="H923" s="328"/>
      <c r="I923" s="329"/>
      <c r="J923" s="330"/>
      <c r="K923" s="366"/>
      <c r="L923" s="330"/>
      <c r="N923" s="348"/>
      <c r="O923" s="271"/>
    </row>
    <row r="924">
      <c r="A924" s="266"/>
      <c r="B924" s="325" t="str">
        <f t="shared" si="36"/>
        <v/>
      </c>
      <c r="C924" s="180" t="str">
        <f>L924&amp;F908&amp;D924</f>
        <v>Thuy.3006</v>
      </c>
      <c r="D924" s="326">
        <v>6.0</v>
      </c>
      <c r="E924" s="327"/>
      <c r="F924" s="328"/>
      <c r="G924" s="328"/>
      <c r="H924" s="328"/>
      <c r="I924" s="329"/>
      <c r="J924" s="330"/>
      <c r="K924" s="366"/>
      <c r="L924" s="330"/>
      <c r="N924" s="348"/>
      <c r="O924" s="266"/>
    </row>
    <row r="925">
      <c r="A925" s="266"/>
      <c r="B925" s="325" t="str">
        <f t="shared" si="36"/>
        <v/>
      </c>
      <c r="C925" s="180" t="str">
        <f>L925&amp;F908&amp;D925</f>
        <v>Thuy.3007</v>
      </c>
      <c r="D925" s="326">
        <v>7.0</v>
      </c>
      <c r="E925" s="327"/>
      <c r="F925" s="328"/>
      <c r="G925" s="328"/>
      <c r="H925" s="328"/>
      <c r="I925" s="329"/>
      <c r="J925" s="330"/>
      <c r="K925" s="366"/>
      <c r="L925" s="330"/>
      <c r="N925" s="348"/>
      <c r="O925" s="266"/>
    </row>
    <row r="926">
      <c r="A926" s="266"/>
      <c r="B926" s="325" t="str">
        <f t="shared" si="36"/>
        <v/>
      </c>
      <c r="C926" s="180" t="str">
        <f>L926&amp;F908&amp;D926</f>
        <v>Thuy.3008</v>
      </c>
      <c r="D926" s="326">
        <v>8.0</v>
      </c>
      <c r="E926" s="327"/>
      <c r="F926" s="328"/>
      <c r="G926" s="328"/>
      <c r="H926" s="328"/>
      <c r="I926" s="329"/>
      <c r="J926" s="330"/>
      <c r="K926" s="366"/>
      <c r="L926" s="330"/>
      <c r="N926" s="348"/>
      <c r="O926" s="266"/>
    </row>
    <row r="927">
      <c r="A927" s="263"/>
      <c r="B927" s="325" t="str">
        <f t="shared" si="36"/>
        <v/>
      </c>
      <c r="C927" s="180" t="str">
        <f>L927&amp;F908&amp;D927</f>
        <v>Thuy.3009</v>
      </c>
      <c r="D927" s="326">
        <v>9.0</v>
      </c>
      <c r="E927" s="327"/>
      <c r="F927" s="328"/>
      <c r="G927" s="328"/>
      <c r="H927" s="328"/>
      <c r="I927" s="329"/>
      <c r="J927" s="330"/>
      <c r="K927" s="366"/>
      <c r="L927" s="330"/>
      <c r="N927" s="348"/>
      <c r="O927" s="263"/>
    </row>
    <row r="928">
      <c r="A928" s="263"/>
      <c r="B928" s="325" t="str">
        <f t="shared" si="36"/>
        <v/>
      </c>
      <c r="C928" s="180" t="str">
        <f>L928&amp;F908&amp;D928</f>
        <v>Thuy.30010</v>
      </c>
      <c r="D928" s="326">
        <v>10.0</v>
      </c>
      <c r="E928" s="327"/>
      <c r="F928" s="328"/>
      <c r="G928" s="328"/>
      <c r="H928" s="328"/>
      <c r="I928" s="329"/>
      <c r="J928" s="330"/>
      <c r="K928" s="366"/>
      <c r="L928" s="330"/>
      <c r="N928" s="348"/>
      <c r="O928" s="263"/>
    </row>
    <row r="929">
      <c r="A929" s="263"/>
      <c r="B929" s="325" t="str">
        <f t="shared" si="36"/>
        <v/>
      </c>
      <c r="C929" s="180" t="str">
        <f>L929&amp;F908&amp;D929</f>
        <v>Thuy.30011</v>
      </c>
      <c r="D929" s="326">
        <v>11.0</v>
      </c>
      <c r="E929" s="327"/>
      <c r="F929" s="328"/>
      <c r="G929" s="328"/>
      <c r="H929" s="328"/>
      <c r="I929" s="329"/>
      <c r="J929" s="330"/>
      <c r="K929" s="366"/>
      <c r="L929" s="330"/>
      <c r="N929" s="348"/>
      <c r="O929" s="263"/>
    </row>
    <row r="930">
      <c r="A930" s="83"/>
      <c r="B930" s="325" t="str">
        <f t="shared" si="36"/>
        <v/>
      </c>
      <c r="C930" s="180" t="str">
        <f>L930&amp;F908&amp;D930</f>
        <v>Thuy.30012</v>
      </c>
      <c r="D930" s="326">
        <v>12.0</v>
      </c>
      <c r="E930" s="327"/>
      <c r="F930" s="328"/>
      <c r="G930" s="328"/>
      <c r="H930" s="328"/>
      <c r="I930" s="329"/>
      <c r="J930" s="330"/>
      <c r="K930" s="366"/>
      <c r="L930" s="330"/>
      <c r="N930" s="348"/>
      <c r="O930" s="83"/>
    </row>
    <row r="931">
      <c r="A931" s="83"/>
      <c r="B931" s="325" t="str">
        <f t="shared" si="36"/>
        <v/>
      </c>
      <c r="C931" s="180" t="str">
        <f>L931&amp;F908&amp;D931</f>
        <v>Thuy.30013</v>
      </c>
      <c r="D931" s="326">
        <v>13.0</v>
      </c>
      <c r="E931" s="327"/>
      <c r="F931" s="328"/>
      <c r="G931" s="328"/>
      <c r="H931" s="328"/>
      <c r="I931" s="329"/>
      <c r="J931" s="330"/>
      <c r="K931" s="366"/>
      <c r="L931" s="330"/>
      <c r="N931" s="348"/>
      <c r="O931" s="83"/>
    </row>
    <row r="932">
      <c r="A932" s="83"/>
      <c r="B932" s="325" t="str">
        <f t="shared" si="36"/>
        <v/>
      </c>
      <c r="C932" s="180" t="str">
        <f>L932&amp;F908&amp;D932</f>
        <v>Thuy.30014</v>
      </c>
      <c r="D932" s="326">
        <v>14.0</v>
      </c>
      <c r="E932" s="327"/>
      <c r="F932" s="328"/>
      <c r="G932" s="328"/>
      <c r="H932" s="328"/>
      <c r="I932" s="329"/>
      <c r="J932" s="330"/>
      <c r="K932" s="366"/>
      <c r="L932" s="330"/>
      <c r="N932" s="348"/>
      <c r="O932" s="83"/>
    </row>
    <row r="933">
      <c r="A933" s="83"/>
      <c r="B933" s="367"/>
      <c r="C933" s="368"/>
      <c r="D933" s="369"/>
      <c r="E933" s="368"/>
      <c r="F933" s="370"/>
      <c r="G933" s="368"/>
      <c r="H933" s="368"/>
      <c r="I933" s="368"/>
      <c r="J933" s="368"/>
      <c r="K933" s="368"/>
      <c r="L933" s="368"/>
      <c r="M933" s="368"/>
      <c r="N933" s="371"/>
      <c r="O933" s="83"/>
    </row>
    <row r="934">
      <c r="A934" s="83"/>
      <c r="B934" s="339"/>
      <c r="D934" s="339"/>
      <c r="F934" s="340"/>
      <c r="O934" s="83"/>
    </row>
    <row r="935" ht="9.0" customHeight="1">
      <c r="A935" s="382"/>
      <c r="B935" s="383"/>
      <c r="C935" s="384"/>
      <c r="D935" s="385"/>
      <c r="E935" s="271"/>
      <c r="F935" s="386"/>
      <c r="G935" s="263"/>
      <c r="H935" s="83"/>
      <c r="I935" s="263"/>
      <c r="J935" s="266"/>
      <c r="K935" s="271"/>
      <c r="L935" s="382"/>
      <c r="M935" s="382"/>
      <c r="N935" s="382"/>
      <c r="O935" s="382"/>
    </row>
    <row r="936">
      <c r="A936" s="382"/>
      <c r="B936" s="341"/>
      <c r="C936" s="342"/>
      <c r="D936" s="343"/>
      <c r="E936" s="342"/>
      <c r="F936" s="344"/>
      <c r="G936" s="342"/>
      <c r="H936" s="342"/>
      <c r="I936" s="342"/>
      <c r="J936" s="342"/>
      <c r="K936" s="342"/>
      <c r="L936" s="342"/>
      <c r="M936" s="342"/>
      <c r="N936" s="345"/>
      <c r="O936" s="382"/>
    </row>
    <row r="937">
      <c r="A937" s="271"/>
      <c r="B937" s="346">
        <v>1.0</v>
      </c>
      <c r="D937" s="287" t="s">
        <v>171</v>
      </c>
      <c r="E937" s="347" t="s">
        <v>172</v>
      </c>
      <c r="F937" s="289" t="s">
        <v>126</v>
      </c>
      <c r="G937" s="290"/>
      <c r="J937" s="291"/>
      <c r="N937" s="348"/>
      <c r="O937" s="271"/>
    </row>
    <row r="938">
      <c r="A938" s="271"/>
      <c r="B938" s="346">
        <v>1.0</v>
      </c>
      <c r="C938" s="202" t="str">
        <f>E938&amp;F938</f>
        <v>Nick Name:Hieu.100</v>
      </c>
      <c r="D938" s="349" t="s">
        <v>173</v>
      </c>
      <c r="E938" s="347" t="s">
        <v>174</v>
      </c>
      <c r="F938" s="289" t="s">
        <v>30</v>
      </c>
      <c r="J938" s="291" t="s">
        <v>175</v>
      </c>
      <c r="L938" s="298" t="s">
        <v>200</v>
      </c>
      <c r="N938" s="348"/>
      <c r="O938" s="271"/>
    </row>
    <row r="939">
      <c r="A939" s="271"/>
      <c r="B939" s="346">
        <v>1.0</v>
      </c>
      <c r="C939" s="202" t="str">
        <f>E939&amp;F938</f>
        <v>Full Name:Hieu.100</v>
      </c>
      <c r="D939" s="349" t="s">
        <v>177</v>
      </c>
      <c r="E939" s="347" t="s">
        <v>178</v>
      </c>
      <c r="F939" s="388" t="s">
        <v>165</v>
      </c>
      <c r="J939" s="291" t="s">
        <v>179</v>
      </c>
      <c r="L939" s="298" t="s">
        <v>294</v>
      </c>
      <c r="N939" s="348"/>
      <c r="O939" s="271"/>
    </row>
    <row r="940">
      <c r="A940" s="266"/>
      <c r="B940" s="346">
        <v>1.0</v>
      </c>
      <c r="C940" s="202" t="str">
        <f>E940&amp;F938</f>
        <v>Position:Hieu.100</v>
      </c>
      <c r="D940" s="349" t="s">
        <v>181</v>
      </c>
      <c r="E940" s="347" t="s">
        <v>182</v>
      </c>
      <c r="F940" s="388" t="s">
        <v>235</v>
      </c>
      <c r="J940" s="291" t="s">
        <v>184</v>
      </c>
      <c r="L940" s="298" t="s">
        <v>210</v>
      </c>
      <c r="N940" s="348"/>
      <c r="O940" s="266"/>
    </row>
    <row r="941">
      <c r="A941" s="266"/>
      <c r="B941" s="346">
        <v>1.0</v>
      </c>
      <c r="C941" s="202" t="str">
        <f>E941&amp;F938</f>
        <v>Birth:Hieu.100</v>
      </c>
      <c r="D941" s="349" t="s">
        <v>185</v>
      </c>
      <c r="E941" s="347" t="s">
        <v>186</v>
      </c>
      <c r="F941" s="289">
        <v>2000.0</v>
      </c>
      <c r="J941" s="351"/>
      <c r="K941" s="352"/>
      <c r="L941" s="352"/>
      <c r="M941" s="352"/>
      <c r="N941" s="348"/>
      <c r="O941" s="266"/>
    </row>
    <row r="942">
      <c r="A942" s="266"/>
      <c r="B942" s="346">
        <v>1.0</v>
      </c>
      <c r="C942" s="202" t="str">
        <f>E942&amp;F938</f>
        <v>Experience:Hieu.100</v>
      </c>
      <c r="D942" s="349" t="s">
        <v>188</v>
      </c>
      <c r="E942" s="347" t="s">
        <v>189</v>
      </c>
      <c r="F942" s="388" t="s">
        <v>295</v>
      </c>
      <c r="J942" s="318"/>
      <c r="K942" s="352"/>
      <c r="L942" s="352"/>
      <c r="M942" s="352"/>
      <c r="N942" s="348"/>
      <c r="O942" s="266"/>
    </row>
    <row r="943">
      <c r="A943" s="263"/>
      <c r="B943" s="346"/>
      <c r="C943" s="374" t="str">
        <f>E943&amp;F938</f>
        <v>Quote:Hieu.100</v>
      </c>
      <c r="D943" s="353" t="s">
        <v>191</v>
      </c>
      <c r="E943" s="354" t="s">
        <v>192</v>
      </c>
      <c r="F943" s="308" t="s">
        <v>296</v>
      </c>
      <c r="J943" s="318"/>
      <c r="K943" s="352"/>
      <c r="L943" s="352"/>
      <c r="M943" s="352"/>
      <c r="N943" s="348"/>
      <c r="O943" s="263"/>
    </row>
    <row r="944">
      <c r="A944" s="263"/>
      <c r="B944" s="346"/>
      <c r="J944" s="318"/>
      <c r="K944" s="352"/>
      <c r="L944" s="352"/>
      <c r="N944" s="348"/>
      <c r="O944" s="263"/>
    </row>
    <row r="945">
      <c r="A945" s="263"/>
      <c r="B945" s="356"/>
      <c r="G945" s="300" t="str">
        <f>If(H945&gt;=0,"🔴","💣")</f>
        <v>🔴</v>
      </c>
      <c r="H945" s="309">
        <f>if(F938="...",0,vlookup(F938,Summary!$E:$V,18,false))</f>
        <v>0</v>
      </c>
      <c r="J945" s="318"/>
      <c r="N945" s="348"/>
      <c r="O945" s="263"/>
    </row>
    <row r="946">
      <c r="A946" s="83"/>
      <c r="B946" s="356"/>
      <c r="C946" s="286" t="str">
        <f>G946&amp;F938</f>
        <v>❤️️Hieu.100</v>
      </c>
      <c r="D946" s="357"/>
      <c r="E946" s="358"/>
      <c r="F946" s="359"/>
      <c r="G946" s="351" t="s">
        <v>194</v>
      </c>
      <c r="H946" s="309">
        <f>sumif(L949:L962,"complete",K949:K962)-vlookup(F938,ADDSTORE!$M$3:$O$38,3,false)</f>
        <v>0</v>
      </c>
      <c r="J946" s="360"/>
      <c r="K946" s="360"/>
      <c r="N946" s="348"/>
      <c r="O946" s="83"/>
    </row>
    <row r="947">
      <c r="A947" s="83"/>
      <c r="B947" s="317"/>
      <c r="C947" s="318"/>
      <c r="D947" s="361"/>
      <c r="E947" s="318"/>
      <c r="F947" s="362"/>
      <c r="G947" s="318"/>
      <c r="H947" s="318"/>
      <c r="I947" s="318"/>
      <c r="J947" s="318"/>
      <c r="K947" s="318"/>
      <c r="L947" s="363"/>
      <c r="M947" s="363"/>
      <c r="N947" s="348"/>
      <c r="O947" s="83"/>
    </row>
    <row r="948">
      <c r="A948" s="83"/>
      <c r="B948" s="317"/>
      <c r="C948" s="318"/>
      <c r="D948" s="319" t="s">
        <v>195</v>
      </c>
      <c r="E948" s="320"/>
      <c r="F948" s="320"/>
      <c r="G948" s="320"/>
      <c r="H948" s="320"/>
      <c r="I948" s="321" t="s">
        <v>196</v>
      </c>
      <c r="J948" s="322" t="s">
        <v>197</v>
      </c>
      <c r="K948" s="323" t="s">
        <v>198</v>
      </c>
      <c r="L948" s="322" t="s">
        <v>199</v>
      </c>
      <c r="N948" s="348"/>
      <c r="O948" s="83"/>
    </row>
    <row r="949">
      <c r="A949" s="382"/>
      <c r="B949" s="325" t="str">
        <f t="shared" ref="B949:B962" si="37">if(L949="complete","🏅",if(L949="fail","💢",))</f>
        <v/>
      </c>
      <c r="C949" s="180" t="str">
        <f>L949&amp;F938&amp;D949</f>
        <v>Hieu.1001</v>
      </c>
      <c r="D949" s="326">
        <v>1.0</v>
      </c>
      <c r="E949" s="327"/>
      <c r="F949" s="328"/>
      <c r="G949" s="328"/>
      <c r="H949" s="328"/>
      <c r="I949" s="329"/>
      <c r="J949" s="330"/>
      <c r="K949" s="365"/>
      <c r="L949" s="364"/>
      <c r="N949" s="348"/>
      <c r="O949" s="382"/>
    </row>
    <row r="950">
      <c r="A950" s="382"/>
      <c r="B950" s="325" t="str">
        <f t="shared" si="37"/>
        <v/>
      </c>
      <c r="C950" s="180" t="str">
        <f>L950&amp;F938&amp;D950</f>
        <v>Hieu.1002</v>
      </c>
      <c r="D950" s="326">
        <v>2.0</v>
      </c>
      <c r="E950" s="327"/>
      <c r="F950" s="328"/>
      <c r="G950" s="328"/>
      <c r="H950" s="328"/>
      <c r="I950" s="329"/>
      <c r="J950" s="330"/>
      <c r="K950" s="366"/>
      <c r="L950" s="364"/>
      <c r="N950" s="348"/>
      <c r="O950" s="382"/>
    </row>
    <row r="951">
      <c r="A951" s="271"/>
      <c r="B951" s="325" t="str">
        <f t="shared" si="37"/>
        <v/>
      </c>
      <c r="C951" s="180" t="str">
        <f>L951&amp;F938&amp;D951</f>
        <v>Hieu.1003</v>
      </c>
      <c r="D951" s="326">
        <v>3.0</v>
      </c>
      <c r="E951" s="327"/>
      <c r="F951" s="328"/>
      <c r="G951" s="328"/>
      <c r="H951" s="328"/>
      <c r="I951" s="329"/>
      <c r="J951" s="330"/>
      <c r="K951" s="366"/>
      <c r="L951" s="364"/>
      <c r="N951" s="348"/>
      <c r="O951" s="271"/>
    </row>
    <row r="952">
      <c r="A952" s="271"/>
      <c r="B952" s="325" t="str">
        <f t="shared" si="37"/>
        <v/>
      </c>
      <c r="C952" s="180" t="str">
        <f>L952&amp;F938&amp;D952</f>
        <v>Hieu.1004</v>
      </c>
      <c r="D952" s="326">
        <v>4.0</v>
      </c>
      <c r="E952" s="327"/>
      <c r="F952" s="328"/>
      <c r="G952" s="328"/>
      <c r="H952" s="328"/>
      <c r="I952" s="329"/>
      <c r="J952" s="330"/>
      <c r="K952" s="365"/>
      <c r="L952" s="364"/>
      <c r="N952" s="348"/>
      <c r="O952" s="271"/>
    </row>
    <row r="953">
      <c r="A953" s="271"/>
      <c r="B953" s="325" t="str">
        <f t="shared" si="37"/>
        <v/>
      </c>
      <c r="C953" s="180" t="str">
        <f>L953&amp;F938&amp;D953</f>
        <v>Hieu.1005</v>
      </c>
      <c r="D953" s="326">
        <v>5.0</v>
      </c>
      <c r="E953" s="327"/>
      <c r="F953" s="328"/>
      <c r="G953" s="328"/>
      <c r="H953" s="328"/>
      <c r="I953" s="329"/>
      <c r="J953" s="330"/>
      <c r="K953" s="366"/>
      <c r="L953" s="330"/>
      <c r="N953" s="348"/>
      <c r="O953" s="271"/>
    </row>
    <row r="954">
      <c r="A954" s="266"/>
      <c r="B954" s="325" t="str">
        <f t="shared" si="37"/>
        <v/>
      </c>
      <c r="C954" s="180" t="str">
        <f>L954&amp;F938&amp;D954</f>
        <v>Hieu.1006</v>
      </c>
      <c r="D954" s="326">
        <v>6.0</v>
      </c>
      <c r="E954" s="327"/>
      <c r="F954" s="328"/>
      <c r="G954" s="328"/>
      <c r="H954" s="328"/>
      <c r="I954" s="329"/>
      <c r="J954" s="330"/>
      <c r="K954" s="366"/>
      <c r="L954" s="330"/>
      <c r="N954" s="348"/>
      <c r="O954" s="266"/>
    </row>
    <row r="955">
      <c r="A955" s="266"/>
      <c r="B955" s="325" t="str">
        <f t="shared" si="37"/>
        <v/>
      </c>
      <c r="C955" s="180" t="str">
        <f>L955&amp;F938&amp;D955</f>
        <v>Hieu.1007</v>
      </c>
      <c r="D955" s="326">
        <v>7.0</v>
      </c>
      <c r="E955" s="327"/>
      <c r="F955" s="328"/>
      <c r="G955" s="328"/>
      <c r="H955" s="328"/>
      <c r="I955" s="329"/>
      <c r="J955" s="330"/>
      <c r="K955" s="366"/>
      <c r="L955" s="330"/>
      <c r="N955" s="348"/>
      <c r="O955" s="266"/>
    </row>
    <row r="956">
      <c r="A956" s="266"/>
      <c r="B956" s="325" t="str">
        <f t="shared" si="37"/>
        <v/>
      </c>
      <c r="C956" s="180" t="str">
        <f>L956&amp;F938&amp;D956</f>
        <v>Hieu.1008</v>
      </c>
      <c r="D956" s="326">
        <v>8.0</v>
      </c>
      <c r="E956" s="327"/>
      <c r="F956" s="328"/>
      <c r="G956" s="328"/>
      <c r="H956" s="328"/>
      <c r="I956" s="329"/>
      <c r="J956" s="330"/>
      <c r="K956" s="366"/>
      <c r="L956" s="330"/>
      <c r="N956" s="348"/>
      <c r="O956" s="266"/>
    </row>
    <row r="957">
      <c r="A957" s="263"/>
      <c r="B957" s="325" t="str">
        <f t="shared" si="37"/>
        <v/>
      </c>
      <c r="C957" s="180" t="str">
        <f>L957&amp;F938&amp;D957</f>
        <v>Hieu.1009</v>
      </c>
      <c r="D957" s="326">
        <v>9.0</v>
      </c>
      <c r="E957" s="327"/>
      <c r="F957" s="328"/>
      <c r="G957" s="328"/>
      <c r="H957" s="328"/>
      <c r="I957" s="329"/>
      <c r="J957" s="330"/>
      <c r="K957" s="366"/>
      <c r="L957" s="330"/>
      <c r="N957" s="348"/>
      <c r="O957" s="263"/>
    </row>
    <row r="958">
      <c r="A958" s="263"/>
      <c r="B958" s="325" t="str">
        <f t="shared" si="37"/>
        <v/>
      </c>
      <c r="C958" s="180" t="str">
        <f>L958&amp;F938&amp;D958</f>
        <v>Hieu.10010</v>
      </c>
      <c r="D958" s="326">
        <v>10.0</v>
      </c>
      <c r="E958" s="327"/>
      <c r="F958" s="328"/>
      <c r="G958" s="328"/>
      <c r="H958" s="328"/>
      <c r="I958" s="329"/>
      <c r="J958" s="330"/>
      <c r="K958" s="366"/>
      <c r="L958" s="330"/>
      <c r="N958" s="348"/>
      <c r="O958" s="263"/>
    </row>
    <row r="959">
      <c r="A959" s="263"/>
      <c r="B959" s="325" t="str">
        <f t="shared" si="37"/>
        <v/>
      </c>
      <c r="C959" s="180" t="str">
        <f>L959&amp;F938&amp;D959</f>
        <v>Hieu.10011</v>
      </c>
      <c r="D959" s="326">
        <v>11.0</v>
      </c>
      <c r="E959" s="327"/>
      <c r="F959" s="328"/>
      <c r="G959" s="328"/>
      <c r="H959" s="328"/>
      <c r="I959" s="329"/>
      <c r="J959" s="330"/>
      <c r="K959" s="366"/>
      <c r="L959" s="330"/>
      <c r="N959" s="348"/>
      <c r="O959" s="263"/>
    </row>
    <row r="960">
      <c r="A960" s="83"/>
      <c r="B960" s="325" t="str">
        <f t="shared" si="37"/>
        <v/>
      </c>
      <c r="C960" s="180" t="str">
        <f>L960&amp;F938&amp;D960</f>
        <v>Hieu.10012</v>
      </c>
      <c r="D960" s="326">
        <v>12.0</v>
      </c>
      <c r="E960" s="327"/>
      <c r="F960" s="328"/>
      <c r="G960" s="328"/>
      <c r="H960" s="328"/>
      <c r="I960" s="329"/>
      <c r="J960" s="330"/>
      <c r="K960" s="366"/>
      <c r="L960" s="330"/>
      <c r="N960" s="348"/>
      <c r="O960" s="83"/>
    </row>
    <row r="961">
      <c r="A961" s="83"/>
      <c r="B961" s="325" t="str">
        <f t="shared" si="37"/>
        <v/>
      </c>
      <c r="C961" s="180" t="str">
        <f>L961&amp;F938&amp;D961</f>
        <v>Hieu.10013</v>
      </c>
      <c r="D961" s="326">
        <v>13.0</v>
      </c>
      <c r="E961" s="327"/>
      <c r="F961" s="328"/>
      <c r="G961" s="328"/>
      <c r="H961" s="328"/>
      <c r="I961" s="329"/>
      <c r="J961" s="330"/>
      <c r="K961" s="366"/>
      <c r="L961" s="330"/>
      <c r="N961" s="348"/>
      <c r="O961" s="83"/>
    </row>
    <row r="962">
      <c r="A962" s="83"/>
      <c r="B962" s="325" t="str">
        <f t="shared" si="37"/>
        <v/>
      </c>
      <c r="C962" s="180" t="str">
        <f>L962&amp;F938&amp;D962</f>
        <v>Hieu.10014</v>
      </c>
      <c r="D962" s="326">
        <v>14.0</v>
      </c>
      <c r="E962" s="327"/>
      <c r="F962" s="328"/>
      <c r="G962" s="328"/>
      <c r="H962" s="328"/>
      <c r="I962" s="329"/>
      <c r="J962" s="330"/>
      <c r="K962" s="366"/>
      <c r="L962" s="330"/>
      <c r="N962" s="348"/>
      <c r="O962" s="83"/>
    </row>
    <row r="963">
      <c r="A963" s="83"/>
      <c r="B963" s="367"/>
      <c r="C963" s="368"/>
      <c r="D963" s="369"/>
      <c r="E963" s="368"/>
      <c r="F963" s="370"/>
      <c r="G963" s="368"/>
      <c r="H963" s="368"/>
      <c r="I963" s="368"/>
      <c r="J963" s="368"/>
      <c r="K963" s="368"/>
      <c r="L963" s="368"/>
      <c r="M963" s="368"/>
      <c r="N963" s="371"/>
      <c r="O963" s="83"/>
    </row>
    <row r="964">
      <c r="A964" s="83"/>
      <c r="B964" s="339"/>
      <c r="D964" s="339"/>
      <c r="F964" s="340"/>
      <c r="O964" s="83"/>
    </row>
    <row r="965" ht="9.0" customHeight="1">
      <c r="A965" s="382"/>
      <c r="B965" s="383"/>
      <c r="C965" s="384"/>
      <c r="D965" s="385"/>
      <c r="E965" s="271"/>
      <c r="F965" s="386"/>
      <c r="G965" s="263"/>
      <c r="H965" s="83"/>
      <c r="I965" s="263"/>
      <c r="J965" s="266"/>
      <c r="K965" s="271"/>
      <c r="L965" s="382"/>
      <c r="M965" s="382"/>
      <c r="N965" s="382"/>
      <c r="O965" s="382"/>
    </row>
    <row r="966">
      <c r="A966" s="382"/>
      <c r="B966" s="341"/>
      <c r="C966" s="342"/>
      <c r="D966" s="343"/>
      <c r="E966" s="342"/>
      <c r="F966" s="344"/>
      <c r="G966" s="342"/>
      <c r="H966" s="342"/>
      <c r="I966" s="342"/>
      <c r="J966" s="342"/>
      <c r="K966" s="342"/>
      <c r="L966" s="342"/>
      <c r="M966" s="342"/>
      <c r="N966" s="345"/>
      <c r="O966" s="382"/>
    </row>
    <row r="967">
      <c r="A967" s="271"/>
      <c r="B967" s="346">
        <v>1.0</v>
      </c>
      <c r="D967" s="287" t="s">
        <v>171</v>
      </c>
      <c r="E967" s="347" t="s">
        <v>172</v>
      </c>
      <c r="F967" s="289" t="s">
        <v>105</v>
      </c>
      <c r="G967" s="290"/>
      <c r="J967" s="291"/>
      <c r="N967" s="348"/>
      <c r="O967" s="271"/>
    </row>
    <row r="968">
      <c r="A968" s="271"/>
      <c r="B968" s="346">
        <v>1.0</v>
      </c>
      <c r="C968" s="202" t="str">
        <f>E968&amp;F968</f>
        <v>Nick Name:Trang.300</v>
      </c>
      <c r="D968" s="349" t="s">
        <v>173</v>
      </c>
      <c r="E968" s="347" t="s">
        <v>174</v>
      </c>
      <c r="F968" s="289" t="s">
        <v>21</v>
      </c>
      <c r="J968" s="291" t="s">
        <v>175</v>
      </c>
      <c r="L968" s="298" t="s">
        <v>257</v>
      </c>
      <c r="N968" s="348"/>
      <c r="O968" s="271"/>
    </row>
    <row r="969">
      <c r="A969" s="271"/>
      <c r="B969" s="346">
        <v>1.0</v>
      </c>
      <c r="C969" s="202" t="str">
        <f>E969&amp;F968</f>
        <v>Full Name:Trang.300</v>
      </c>
      <c r="D969" s="349" t="s">
        <v>177</v>
      </c>
      <c r="E969" s="347" t="s">
        <v>178</v>
      </c>
      <c r="F969" s="388" t="s">
        <v>297</v>
      </c>
      <c r="J969" s="291" t="s">
        <v>179</v>
      </c>
      <c r="L969" s="298" t="s">
        <v>200</v>
      </c>
      <c r="N969" s="348"/>
      <c r="O969" s="271"/>
    </row>
    <row r="970">
      <c r="A970" s="266"/>
      <c r="B970" s="346">
        <v>1.0</v>
      </c>
      <c r="C970" s="202" t="str">
        <f>E970&amp;F968</f>
        <v>Position:Trang.300</v>
      </c>
      <c r="D970" s="349" t="s">
        <v>181</v>
      </c>
      <c r="E970" s="347" t="s">
        <v>182</v>
      </c>
      <c r="F970" s="388" t="s">
        <v>286</v>
      </c>
      <c r="J970" s="291" t="s">
        <v>184</v>
      </c>
      <c r="L970" s="298" t="s">
        <v>200</v>
      </c>
      <c r="N970" s="348"/>
      <c r="O970" s="266"/>
    </row>
    <row r="971">
      <c r="A971" s="266"/>
      <c r="B971" s="346">
        <v>1.0</v>
      </c>
      <c r="C971" s="202" t="str">
        <f>E971&amp;F968</f>
        <v>Birth:Trang.300</v>
      </c>
      <c r="D971" s="349" t="s">
        <v>185</v>
      </c>
      <c r="E971" s="347" t="s">
        <v>186</v>
      </c>
      <c r="F971" s="289" t="s">
        <v>200</v>
      </c>
      <c r="J971" s="351"/>
      <c r="K971" s="352"/>
      <c r="L971" s="352"/>
      <c r="M971" s="352"/>
      <c r="N971" s="348"/>
      <c r="O971" s="266"/>
    </row>
    <row r="972">
      <c r="A972" s="266"/>
      <c r="B972" s="346">
        <v>1.0</v>
      </c>
      <c r="C972" s="202" t="str">
        <f>E972&amp;F968</f>
        <v>Experience:Trang.300</v>
      </c>
      <c r="D972" s="349" t="s">
        <v>188</v>
      </c>
      <c r="E972" s="347" t="s">
        <v>189</v>
      </c>
      <c r="F972" s="388" t="s">
        <v>200</v>
      </c>
      <c r="J972" s="318"/>
      <c r="K972" s="352"/>
      <c r="L972" s="352"/>
      <c r="M972" s="352"/>
      <c r="N972" s="348"/>
      <c r="O972" s="266"/>
    </row>
    <row r="973">
      <c r="A973" s="263"/>
      <c r="B973" s="346"/>
      <c r="C973" s="374" t="str">
        <f>E973&amp;F968</f>
        <v>Quote:Trang.300</v>
      </c>
      <c r="D973" s="353" t="s">
        <v>191</v>
      </c>
      <c r="E973" s="354" t="s">
        <v>192</v>
      </c>
      <c r="F973" s="308" t="s">
        <v>298</v>
      </c>
      <c r="J973" s="318"/>
      <c r="K973" s="352"/>
      <c r="L973" s="352"/>
      <c r="M973" s="352"/>
      <c r="N973" s="348"/>
      <c r="O973" s="263"/>
    </row>
    <row r="974">
      <c r="A974" s="263"/>
      <c r="B974" s="346"/>
      <c r="J974" s="318"/>
      <c r="K974" s="352"/>
      <c r="L974" s="352"/>
      <c r="N974" s="348"/>
      <c r="O974" s="263"/>
    </row>
    <row r="975">
      <c r="A975" s="263"/>
      <c r="B975" s="356"/>
      <c r="G975" s="300" t="str">
        <f>If(H975&gt;=0,"🔴","💣")</f>
        <v>🔴</v>
      </c>
      <c r="H975" s="309">
        <f>if(F968="...",0,vlookup(F968,Summary!$E:$V,18,false))</f>
        <v>0</v>
      </c>
      <c r="J975" s="318"/>
      <c r="N975" s="348"/>
      <c r="O975" s="263"/>
    </row>
    <row r="976">
      <c r="A976" s="83"/>
      <c r="B976" s="356"/>
      <c r="C976" s="286" t="str">
        <f>G976&amp;F968</f>
        <v>❤️️Trang.300</v>
      </c>
      <c r="D976" s="357"/>
      <c r="E976" s="358"/>
      <c r="F976" s="359"/>
      <c r="G976" s="351" t="s">
        <v>194</v>
      </c>
      <c r="H976" s="309">
        <f>sumif(L979:L992,"complete",K979:K992)-vlookup(F968,ADDSTORE!$M$3:$O$38,3,false)</f>
        <v>0</v>
      </c>
      <c r="J976" s="360"/>
      <c r="K976" s="360"/>
      <c r="N976" s="348"/>
      <c r="O976" s="83"/>
    </row>
    <row r="977">
      <c r="A977" s="83"/>
      <c r="B977" s="317"/>
      <c r="C977" s="318"/>
      <c r="D977" s="361"/>
      <c r="E977" s="318"/>
      <c r="F977" s="362"/>
      <c r="G977" s="318"/>
      <c r="H977" s="318"/>
      <c r="I977" s="318"/>
      <c r="J977" s="318"/>
      <c r="K977" s="318"/>
      <c r="L977" s="363"/>
      <c r="M977" s="363"/>
      <c r="N977" s="348"/>
      <c r="O977" s="83"/>
    </row>
    <row r="978">
      <c r="A978" s="83"/>
      <c r="B978" s="317"/>
      <c r="C978" s="318"/>
      <c r="D978" s="319" t="s">
        <v>195</v>
      </c>
      <c r="E978" s="320"/>
      <c r="F978" s="320"/>
      <c r="G978" s="320"/>
      <c r="H978" s="320"/>
      <c r="I978" s="321" t="s">
        <v>196</v>
      </c>
      <c r="J978" s="322" t="s">
        <v>197</v>
      </c>
      <c r="K978" s="323" t="s">
        <v>198</v>
      </c>
      <c r="L978" s="322" t="s">
        <v>199</v>
      </c>
      <c r="N978" s="348"/>
      <c r="O978" s="83"/>
    </row>
    <row r="979">
      <c r="A979" s="382"/>
      <c r="B979" s="325" t="str">
        <f t="shared" ref="B979:B992" si="38">if(L979="complete","🏅",if(L979="fail","💢",))</f>
        <v/>
      </c>
      <c r="C979" s="180" t="str">
        <f>L979&amp;F968&amp;D979</f>
        <v>Trang.3001</v>
      </c>
      <c r="D979" s="326">
        <v>1.0</v>
      </c>
      <c r="E979" s="327"/>
      <c r="F979" s="328"/>
      <c r="G979" s="328"/>
      <c r="H979" s="328"/>
      <c r="I979" s="329"/>
      <c r="J979" s="330"/>
      <c r="K979" s="365"/>
      <c r="L979" s="364"/>
      <c r="N979" s="348"/>
      <c r="O979" s="382"/>
    </row>
    <row r="980">
      <c r="A980" s="382"/>
      <c r="B980" s="325" t="str">
        <f t="shared" si="38"/>
        <v/>
      </c>
      <c r="C980" s="180" t="str">
        <f>L980&amp;F968&amp;D980</f>
        <v>Trang.3002</v>
      </c>
      <c r="D980" s="326">
        <v>2.0</v>
      </c>
      <c r="E980" s="327"/>
      <c r="F980" s="328"/>
      <c r="G980" s="328"/>
      <c r="H980" s="328"/>
      <c r="I980" s="329"/>
      <c r="J980" s="330"/>
      <c r="K980" s="366"/>
      <c r="L980" s="364"/>
      <c r="N980" s="348"/>
      <c r="O980" s="382"/>
    </row>
    <row r="981">
      <c r="A981" s="271"/>
      <c r="B981" s="325" t="str">
        <f t="shared" si="38"/>
        <v/>
      </c>
      <c r="C981" s="180" t="str">
        <f>L981&amp;F968&amp;D981</f>
        <v>Trang.3003</v>
      </c>
      <c r="D981" s="326">
        <v>3.0</v>
      </c>
      <c r="E981" s="327"/>
      <c r="F981" s="328"/>
      <c r="G981" s="328"/>
      <c r="H981" s="328"/>
      <c r="I981" s="329"/>
      <c r="J981" s="330"/>
      <c r="K981" s="366"/>
      <c r="L981" s="364"/>
      <c r="N981" s="348"/>
      <c r="O981" s="271"/>
    </row>
    <row r="982">
      <c r="A982" s="271"/>
      <c r="B982" s="325" t="str">
        <f t="shared" si="38"/>
        <v/>
      </c>
      <c r="C982" s="180" t="str">
        <f>L982&amp;F968&amp;D982</f>
        <v>Trang.3004</v>
      </c>
      <c r="D982" s="326">
        <v>4.0</v>
      </c>
      <c r="E982" s="327"/>
      <c r="F982" s="328"/>
      <c r="G982" s="328"/>
      <c r="H982" s="328"/>
      <c r="I982" s="329"/>
      <c r="J982" s="330"/>
      <c r="K982" s="365"/>
      <c r="L982" s="364"/>
      <c r="N982" s="348"/>
      <c r="O982" s="271"/>
    </row>
    <row r="983">
      <c r="A983" s="271"/>
      <c r="B983" s="325" t="str">
        <f t="shared" si="38"/>
        <v/>
      </c>
      <c r="C983" s="180" t="str">
        <f>L983&amp;F968&amp;D983</f>
        <v>Trang.3005</v>
      </c>
      <c r="D983" s="326">
        <v>5.0</v>
      </c>
      <c r="E983" s="327"/>
      <c r="F983" s="328"/>
      <c r="G983" s="328"/>
      <c r="H983" s="328"/>
      <c r="I983" s="329"/>
      <c r="J983" s="330"/>
      <c r="K983" s="366"/>
      <c r="L983" s="330"/>
      <c r="N983" s="348"/>
      <c r="O983" s="271"/>
    </row>
    <row r="984">
      <c r="A984" s="266"/>
      <c r="B984" s="325" t="str">
        <f t="shared" si="38"/>
        <v/>
      </c>
      <c r="C984" s="180" t="str">
        <f>L984&amp;F968&amp;D984</f>
        <v>Trang.3006</v>
      </c>
      <c r="D984" s="326">
        <v>6.0</v>
      </c>
      <c r="E984" s="327"/>
      <c r="F984" s="328"/>
      <c r="G984" s="328"/>
      <c r="H984" s="328"/>
      <c r="I984" s="329"/>
      <c r="J984" s="330"/>
      <c r="K984" s="366"/>
      <c r="L984" s="330"/>
      <c r="N984" s="348"/>
      <c r="O984" s="266"/>
    </row>
    <row r="985">
      <c r="A985" s="266"/>
      <c r="B985" s="325" t="str">
        <f t="shared" si="38"/>
        <v/>
      </c>
      <c r="C985" s="180" t="str">
        <f>L985&amp;F968&amp;D985</f>
        <v>Trang.3007</v>
      </c>
      <c r="D985" s="326">
        <v>7.0</v>
      </c>
      <c r="E985" s="327"/>
      <c r="F985" s="328"/>
      <c r="G985" s="328"/>
      <c r="H985" s="328"/>
      <c r="I985" s="329"/>
      <c r="J985" s="330"/>
      <c r="K985" s="366"/>
      <c r="L985" s="330"/>
      <c r="N985" s="348"/>
      <c r="O985" s="266"/>
    </row>
    <row r="986">
      <c r="A986" s="266"/>
      <c r="B986" s="325" t="str">
        <f t="shared" si="38"/>
        <v/>
      </c>
      <c r="C986" s="180" t="str">
        <f>L986&amp;F968&amp;D986</f>
        <v>Trang.3008</v>
      </c>
      <c r="D986" s="326">
        <v>8.0</v>
      </c>
      <c r="E986" s="327"/>
      <c r="F986" s="328"/>
      <c r="G986" s="328"/>
      <c r="H986" s="328"/>
      <c r="I986" s="329"/>
      <c r="J986" s="330"/>
      <c r="K986" s="366"/>
      <c r="L986" s="330"/>
      <c r="N986" s="348"/>
      <c r="O986" s="266"/>
    </row>
    <row r="987">
      <c r="A987" s="263"/>
      <c r="B987" s="325" t="str">
        <f t="shared" si="38"/>
        <v/>
      </c>
      <c r="C987" s="180" t="str">
        <f>L987&amp;F968&amp;D987</f>
        <v>Trang.3009</v>
      </c>
      <c r="D987" s="326">
        <v>9.0</v>
      </c>
      <c r="E987" s="327"/>
      <c r="F987" s="328"/>
      <c r="G987" s="328"/>
      <c r="H987" s="328"/>
      <c r="I987" s="329"/>
      <c r="J987" s="330"/>
      <c r="K987" s="366"/>
      <c r="L987" s="330"/>
      <c r="N987" s="348"/>
      <c r="O987" s="263"/>
    </row>
    <row r="988">
      <c r="A988" s="263"/>
      <c r="B988" s="325" t="str">
        <f t="shared" si="38"/>
        <v/>
      </c>
      <c r="C988" s="180" t="str">
        <f>L988&amp;F968&amp;D988</f>
        <v>Trang.30010</v>
      </c>
      <c r="D988" s="326">
        <v>10.0</v>
      </c>
      <c r="E988" s="327"/>
      <c r="F988" s="328"/>
      <c r="G988" s="328"/>
      <c r="H988" s="328"/>
      <c r="I988" s="329"/>
      <c r="J988" s="330"/>
      <c r="K988" s="366"/>
      <c r="L988" s="330"/>
      <c r="N988" s="348"/>
      <c r="O988" s="263"/>
    </row>
    <row r="989">
      <c r="A989" s="263"/>
      <c r="B989" s="325" t="str">
        <f t="shared" si="38"/>
        <v/>
      </c>
      <c r="C989" s="180" t="str">
        <f>L989&amp;F968&amp;D989</f>
        <v>Trang.30011</v>
      </c>
      <c r="D989" s="326">
        <v>11.0</v>
      </c>
      <c r="E989" s="327"/>
      <c r="F989" s="328"/>
      <c r="G989" s="328"/>
      <c r="H989" s="328"/>
      <c r="I989" s="329"/>
      <c r="J989" s="330"/>
      <c r="K989" s="366"/>
      <c r="L989" s="330"/>
      <c r="N989" s="348"/>
      <c r="O989" s="263"/>
    </row>
    <row r="990">
      <c r="A990" s="83"/>
      <c r="B990" s="325" t="str">
        <f t="shared" si="38"/>
        <v/>
      </c>
      <c r="C990" s="180" t="str">
        <f>L990&amp;F968&amp;D990</f>
        <v>Trang.30012</v>
      </c>
      <c r="D990" s="326">
        <v>12.0</v>
      </c>
      <c r="E990" s="327"/>
      <c r="F990" s="328"/>
      <c r="G990" s="328"/>
      <c r="H990" s="328"/>
      <c r="I990" s="329"/>
      <c r="J990" s="330"/>
      <c r="K990" s="366"/>
      <c r="L990" s="330"/>
      <c r="N990" s="348"/>
      <c r="O990" s="83"/>
    </row>
    <row r="991">
      <c r="A991" s="83"/>
      <c r="B991" s="325" t="str">
        <f t="shared" si="38"/>
        <v/>
      </c>
      <c r="C991" s="180" t="str">
        <f>L991&amp;F968&amp;D991</f>
        <v>Trang.30013</v>
      </c>
      <c r="D991" s="326">
        <v>13.0</v>
      </c>
      <c r="E991" s="327"/>
      <c r="F991" s="328"/>
      <c r="G991" s="328"/>
      <c r="H991" s="328"/>
      <c r="I991" s="329"/>
      <c r="J991" s="330"/>
      <c r="K991" s="366"/>
      <c r="L991" s="330"/>
      <c r="N991" s="348"/>
      <c r="O991" s="83"/>
    </row>
    <row r="992">
      <c r="A992" s="83"/>
      <c r="B992" s="325" t="str">
        <f t="shared" si="38"/>
        <v/>
      </c>
      <c r="C992" s="180" t="str">
        <f>L992&amp;F968&amp;D992</f>
        <v>Trang.30014</v>
      </c>
      <c r="D992" s="326">
        <v>14.0</v>
      </c>
      <c r="E992" s="327"/>
      <c r="F992" s="328"/>
      <c r="G992" s="328"/>
      <c r="H992" s="328"/>
      <c r="I992" s="329"/>
      <c r="J992" s="330"/>
      <c r="K992" s="366"/>
      <c r="L992" s="330"/>
      <c r="N992" s="348"/>
      <c r="O992" s="83"/>
    </row>
    <row r="993">
      <c r="A993" s="83"/>
      <c r="B993" s="367"/>
      <c r="C993" s="368"/>
      <c r="D993" s="369"/>
      <c r="E993" s="368"/>
      <c r="F993" s="370"/>
      <c r="G993" s="368"/>
      <c r="H993" s="368"/>
      <c r="I993" s="368"/>
      <c r="J993" s="368"/>
      <c r="K993" s="368"/>
      <c r="L993" s="368"/>
      <c r="M993" s="368"/>
      <c r="N993" s="371"/>
      <c r="O993" s="83"/>
    </row>
    <row r="994">
      <c r="A994" s="83"/>
      <c r="B994" s="339"/>
      <c r="D994" s="339"/>
      <c r="F994" s="340"/>
      <c r="O994" s="83"/>
    </row>
    <row r="995" ht="9.0" customHeight="1">
      <c r="A995" s="382"/>
      <c r="B995" s="383"/>
      <c r="C995" s="384"/>
      <c r="D995" s="385"/>
      <c r="E995" s="271"/>
      <c r="F995" s="386"/>
      <c r="G995" s="263"/>
      <c r="H995" s="83"/>
      <c r="I995" s="263"/>
      <c r="J995" s="266"/>
      <c r="K995" s="271"/>
      <c r="L995" s="382"/>
      <c r="M995" s="382"/>
      <c r="N995" s="382"/>
      <c r="O995" s="382"/>
    </row>
    <row r="996">
      <c r="A996" s="382"/>
      <c r="B996" s="341"/>
      <c r="C996" s="342"/>
      <c r="D996" s="343"/>
      <c r="E996" s="342"/>
      <c r="F996" s="344"/>
      <c r="G996" s="342"/>
      <c r="H996" s="342"/>
      <c r="I996" s="342"/>
      <c r="J996" s="342"/>
      <c r="K996" s="342"/>
      <c r="L996" s="342"/>
      <c r="M996" s="342"/>
      <c r="N996" s="345"/>
      <c r="O996" s="382"/>
    </row>
    <row r="997">
      <c r="A997" s="271"/>
      <c r="B997" s="346">
        <v>1.0</v>
      </c>
      <c r="D997" s="287" t="s">
        <v>171</v>
      </c>
      <c r="E997" s="347" t="s">
        <v>172</v>
      </c>
      <c r="F997" s="388" t="s">
        <v>102</v>
      </c>
      <c r="G997" s="290"/>
      <c r="J997" s="291"/>
      <c r="N997" s="348"/>
      <c r="O997" s="271"/>
    </row>
    <row r="998">
      <c r="A998" s="271"/>
      <c r="B998" s="346">
        <v>1.0</v>
      </c>
      <c r="C998" s="202" t="str">
        <f>E998&amp;F998</f>
        <v>Nick Name:Duy Anh.200</v>
      </c>
      <c r="D998" s="349" t="s">
        <v>173</v>
      </c>
      <c r="E998" s="347" t="s">
        <v>174</v>
      </c>
      <c r="F998" s="388" t="s">
        <v>20</v>
      </c>
      <c r="J998" s="291" t="s">
        <v>175</v>
      </c>
      <c r="L998" s="298" t="s">
        <v>299</v>
      </c>
      <c r="N998" s="348"/>
      <c r="O998" s="271"/>
    </row>
    <row r="999">
      <c r="A999" s="271"/>
      <c r="B999" s="346">
        <v>1.0</v>
      </c>
      <c r="C999" s="202" t="str">
        <f>E999&amp;F998</f>
        <v>Full Name:Duy Anh.200</v>
      </c>
      <c r="D999" s="349" t="s">
        <v>177</v>
      </c>
      <c r="E999" s="347" t="s">
        <v>178</v>
      </c>
      <c r="F999" s="388" t="s">
        <v>154</v>
      </c>
      <c r="J999" s="291" t="s">
        <v>179</v>
      </c>
      <c r="L999" s="298" t="s">
        <v>200</v>
      </c>
      <c r="N999" s="348"/>
      <c r="O999" s="271"/>
    </row>
    <row r="1000">
      <c r="A1000" s="266"/>
      <c r="B1000" s="346">
        <v>1.0</v>
      </c>
      <c r="C1000" s="202" t="str">
        <f>E1000&amp;F998</f>
        <v>Position:Duy Anh.200</v>
      </c>
      <c r="D1000" s="349" t="s">
        <v>181</v>
      </c>
      <c r="E1000" s="347" t="s">
        <v>182</v>
      </c>
      <c r="F1000" s="388">
        <v>200.1</v>
      </c>
      <c r="J1000" s="291" t="s">
        <v>184</v>
      </c>
      <c r="L1000" s="298" t="s">
        <v>180</v>
      </c>
      <c r="N1000" s="348"/>
      <c r="O1000" s="266"/>
    </row>
    <row r="1001">
      <c r="A1001" s="266"/>
      <c r="B1001" s="346">
        <v>1.0</v>
      </c>
      <c r="C1001" s="202" t="str">
        <f>E1001&amp;F998</f>
        <v>Birth:Duy Anh.200</v>
      </c>
      <c r="D1001" s="349" t="s">
        <v>185</v>
      </c>
      <c r="E1001" s="347" t="s">
        <v>186</v>
      </c>
      <c r="F1001" s="388" t="s">
        <v>300</v>
      </c>
      <c r="J1001" s="351"/>
      <c r="K1001" s="352"/>
      <c r="L1001" s="352"/>
      <c r="M1001" s="352"/>
      <c r="N1001" s="348"/>
      <c r="O1001" s="266"/>
    </row>
    <row r="1002">
      <c r="A1002" s="266"/>
      <c r="B1002" s="346">
        <v>1.0</v>
      </c>
      <c r="C1002" s="202" t="str">
        <f>E1002&amp;F998</f>
        <v>Experience:Duy Anh.200</v>
      </c>
      <c r="D1002" s="349" t="s">
        <v>188</v>
      </c>
      <c r="E1002" s="347" t="s">
        <v>189</v>
      </c>
      <c r="F1002" s="388" t="s">
        <v>301</v>
      </c>
      <c r="J1002" s="318"/>
      <c r="K1002" s="352"/>
      <c r="L1002" s="352"/>
      <c r="M1002" s="352"/>
      <c r="N1002" s="348"/>
      <c r="O1002" s="266"/>
    </row>
    <row r="1003">
      <c r="A1003" s="263"/>
      <c r="B1003" s="346"/>
      <c r="C1003" s="374" t="str">
        <f>E1003&amp;F998</f>
        <v>Quote:Duy Anh.200</v>
      </c>
      <c r="D1003" s="353" t="s">
        <v>191</v>
      </c>
      <c r="E1003" s="354" t="s">
        <v>192</v>
      </c>
      <c r="F1003" s="308" t="s">
        <v>302</v>
      </c>
      <c r="J1003" s="318"/>
      <c r="K1003" s="352"/>
      <c r="L1003" s="352"/>
      <c r="M1003" s="352"/>
      <c r="N1003" s="348"/>
      <c r="O1003" s="263"/>
    </row>
    <row r="1004">
      <c r="A1004" s="263"/>
      <c r="B1004" s="346"/>
      <c r="J1004" s="318"/>
      <c r="K1004" s="352"/>
      <c r="L1004" s="352"/>
      <c r="N1004" s="348"/>
      <c r="O1004" s="263"/>
    </row>
    <row r="1005">
      <c r="A1005" s="263"/>
      <c r="B1005" s="356"/>
      <c r="G1005" s="300" t="str">
        <f>If(H1005&gt;=0,"🔴","💣")</f>
        <v>🔴</v>
      </c>
      <c r="H1005" s="309">
        <f>if(F998="...",0,vlookup(F998,Summary!$E:$V,18,false))</f>
        <v>0</v>
      </c>
      <c r="J1005" s="318"/>
      <c r="N1005" s="348"/>
      <c r="O1005" s="263"/>
    </row>
    <row r="1006">
      <c r="A1006" s="83"/>
      <c r="B1006" s="356"/>
      <c r="C1006" s="286" t="str">
        <f>G1006&amp;F998</f>
        <v>❤️️Duy Anh.200</v>
      </c>
      <c r="D1006" s="357"/>
      <c r="E1006" s="358"/>
      <c r="F1006" s="359"/>
      <c r="G1006" s="351" t="s">
        <v>194</v>
      </c>
      <c r="H1006" s="309">
        <f>sumif(L1009:L1022,"complete",K1009:K1022)-vlookup(F998,ADDSTORE!$M$3:$O$38,3,false)</f>
        <v>0</v>
      </c>
      <c r="J1006" s="360"/>
      <c r="K1006" s="360"/>
      <c r="N1006" s="348"/>
      <c r="O1006" s="83"/>
    </row>
    <row r="1007">
      <c r="A1007" s="83"/>
      <c r="B1007" s="317"/>
      <c r="C1007" s="318"/>
      <c r="D1007" s="361"/>
      <c r="E1007" s="318"/>
      <c r="F1007" s="362"/>
      <c r="G1007" s="318"/>
      <c r="H1007" s="318"/>
      <c r="I1007" s="318"/>
      <c r="J1007" s="318"/>
      <c r="K1007" s="318"/>
      <c r="L1007" s="363"/>
      <c r="M1007" s="363"/>
      <c r="N1007" s="348"/>
      <c r="O1007" s="83"/>
    </row>
    <row r="1008">
      <c r="A1008" s="83"/>
      <c r="B1008" s="317"/>
      <c r="C1008" s="318"/>
      <c r="D1008" s="319" t="s">
        <v>195</v>
      </c>
      <c r="E1008" s="320"/>
      <c r="F1008" s="320"/>
      <c r="G1008" s="320"/>
      <c r="H1008" s="320"/>
      <c r="I1008" s="321" t="s">
        <v>196</v>
      </c>
      <c r="J1008" s="322" t="s">
        <v>197</v>
      </c>
      <c r="K1008" s="323" t="s">
        <v>198</v>
      </c>
      <c r="L1008" s="322" t="s">
        <v>199</v>
      </c>
      <c r="N1008" s="348"/>
      <c r="O1008" s="83"/>
    </row>
    <row r="1009">
      <c r="A1009" s="382"/>
      <c r="B1009" s="325" t="str">
        <f t="shared" ref="B1009:B1022" si="39">if(L1009="complete","🏅",if(L1009="fail","💢",))</f>
        <v/>
      </c>
      <c r="C1009" s="180" t="str">
        <f>L1009&amp;F998&amp;D1009</f>
        <v>Duy Anh.2001</v>
      </c>
      <c r="D1009" s="326">
        <v>1.0</v>
      </c>
      <c r="E1009" s="327"/>
      <c r="F1009" s="328"/>
      <c r="G1009" s="328"/>
      <c r="H1009" s="328"/>
      <c r="I1009" s="329"/>
      <c r="J1009" s="330"/>
      <c r="K1009" s="365"/>
      <c r="L1009" s="364"/>
      <c r="N1009" s="348"/>
      <c r="O1009" s="382"/>
    </row>
    <row r="1010">
      <c r="A1010" s="382"/>
      <c r="B1010" s="325" t="str">
        <f t="shared" si="39"/>
        <v/>
      </c>
      <c r="C1010" s="180" t="str">
        <f>L1010&amp;F998&amp;D1010</f>
        <v>Duy Anh.2002</v>
      </c>
      <c r="D1010" s="326">
        <v>2.0</v>
      </c>
      <c r="E1010" s="327"/>
      <c r="F1010" s="328"/>
      <c r="G1010" s="328"/>
      <c r="H1010" s="328"/>
      <c r="I1010" s="329"/>
      <c r="J1010" s="330"/>
      <c r="K1010" s="366"/>
      <c r="L1010" s="364"/>
      <c r="N1010" s="348"/>
      <c r="O1010" s="382"/>
    </row>
    <row r="1011">
      <c r="A1011" s="271"/>
      <c r="B1011" s="325" t="str">
        <f t="shared" si="39"/>
        <v/>
      </c>
      <c r="C1011" s="180" t="str">
        <f>L1011&amp;F998&amp;D1011</f>
        <v>Duy Anh.2003</v>
      </c>
      <c r="D1011" s="326">
        <v>3.0</v>
      </c>
      <c r="E1011" s="327"/>
      <c r="F1011" s="328"/>
      <c r="G1011" s="328"/>
      <c r="H1011" s="328"/>
      <c r="I1011" s="329"/>
      <c r="J1011" s="330"/>
      <c r="K1011" s="366"/>
      <c r="L1011" s="364"/>
      <c r="N1011" s="348"/>
      <c r="O1011" s="271"/>
    </row>
    <row r="1012">
      <c r="A1012" s="271"/>
      <c r="B1012" s="325" t="str">
        <f t="shared" si="39"/>
        <v/>
      </c>
      <c r="C1012" s="180" t="str">
        <f>L1012&amp;F998&amp;D1012</f>
        <v>Duy Anh.2004</v>
      </c>
      <c r="D1012" s="326">
        <v>4.0</v>
      </c>
      <c r="E1012" s="327"/>
      <c r="F1012" s="328"/>
      <c r="G1012" s="328"/>
      <c r="H1012" s="328"/>
      <c r="I1012" s="329"/>
      <c r="J1012" s="330"/>
      <c r="K1012" s="365"/>
      <c r="L1012" s="364"/>
      <c r="N1012" s="348"/>
      <c r="O1012" s="271"/>
    </row>
    <row r="1013">
      <c r="A1013" s="271"/>
      <c r="B1013" s="325" t="str">
        <f t="shared" si="39"/>
        <v/>
      </c>
      <c r="C1013" s="180" t="str">
        <f>L1013&amp;F998&amp;D1013</f>
        <v>Duy Anh.2005</v>
      </c>
      <c r="D1013" s="326">
        <v>5.0</v>
      </c>
      <c r="E1013" s="327"/>
      <c r="F1013" s="328"/>
      <c r="G1013" s="328"/>
      <c r="H1013" s="328"/>
      <c r="I1013" s="329"/>
      <c r="J1013" s="330"/>
      <c r="K1013" s="366"/>
      <c r="L1013" s="330"/>
      <c r="N1013" s="348"/>
      <c r="O1013" s="271"/>
    </row>
    <row r="1014">
      <c r="A1014" s="266"/>
      <c r="B1014" s="325" t="str">
        <f t="shared" si="39"/>
        <v/>
      </c>
      <c r="C1014" s="180" t="str">
        <f>L1014&amp;F998&amp;D1014</f>
        <v>Duy Anh.2006</v>
      </c>
      <c r="D1014" s="326">
        <v>6.0</v>
      </c>
      <c r="E1014" s="327"/>
      <c r="F1014" s="328"/>
      <c r="G1014" s="328"/>
      <c r="H1014" s="328"/>
      <c r="I1014" s="329"/>
      <c r="J1014" s="330"/>
      <c r="K1014" s="366"/>
      <c r="L1014" s="330"/>
      <c r="N1014" s="348"/>
      <c r="O1014" s="266"/>
    </row>
    <row r="1015">
      <c r="A1015" s="266"/>
      <c r="B1015" s="325" t="str">
        <f t="shared" si="39"/>
        <v/>
      </c>
      <c r="C1015" s="180" t="str">
        <f>L1015&amp;F998&amp;D1015</f>
        <v>Duy Anh.2007</v>
      </c>
      <c r="D1015" s="326">
        <v>7.0</v>
      </c>
      <c r="E1015" s="327"/>
      <c r="F1015" s="328"/>
      <c r="G1015" s="328"/>
      <c r="H1015" s="328"/>
      <c r="I1015" s="329"/>
      <c r="J1015" s="330"/>
      <c r="K1015" s="366"/>
      <c r="L1015" s="330"/>
      <c r="N1015" s="348"/>
      <c r="O1015" s="266"/>
    </row>
    <row r="1016">
      <c r="A1016" s="266"/>
      <c r="B1016" s="325" t="str">
        <f t="shared" si="39"/>
        <v/>
      </c>
      <c r="C1016" s="180" t="str">
        <f>L1016&amp;F998&amp;D1016</f>
        <v>Duy Anh.2008</v>
      </c>
      <c r="D1016" s="326">
        <v>8.0</v>
      </c>
      <c r="E1016" s="327"/>
      <c r="F1016" s="328"/>
      <c r="G1016" s="328"/>
      <c r="H1016" s="328"/>
      <c r="I1016" s="329"/>
      <c r="J1016" s="330"/>
      <c r="K1016" s="366"/>
      <c r="L1016" s="330"/>
      <c r="N1016" s="348"/>
      <c r="O1016" s="266"/>
    </row>
    <row r="1017">
      <c r="A1017" s="263"/>
      <c r="B1017" s="325" t="str">
        <f t="shared" si="39"/>
        <v/>
      </c>
      <c r="C1017" s="180" t="str">
        <f>L1017&amp;F998&amp;D1017</f>
        <v>Duy Anh.2009</v>
      </c>
      <c r="D1017" s="326">
        <v>9.0</v>
      </c>
      <c r="E1017" s="327"/>
      <c r="F1017" s="328"/>
      <c r="G1017" s="328"/>
      <c r="H1017" s="328"/>
      <c r="I1017" s="329"/>
      <c r="J1017" s="330"/>
      <c r="K1017" s="366"/>
      <c r="L1017" s="330"/>
      <c r="N1017" s="348"/>
      <c r="O1017" s="263"/>
    </row>
    <row r="1018">
      <c r="A1018" s="263"/>
      <c r="B1018" s="325" t="str">
        <f t="shared" si="39"/>
        <v/>
      </c>
      <c r="C1018" s="180" t="str">
        <f>L1018&amp;F998&amp;D1018</f>
        <v>Duy Anh.20010</v>
      </c>
      <c r="D1018" s="326">
        <v>10.0</v>
      </c>
      <c r="E1018" s="327"/>
      <c r="F1018" s="328"/>
      <c r="G1018" s="328"/>
      <c r="H1018" s="328"/>
      <c r="I1018" s="329"/>
      <c r="J1018" s="330"/>
      <c r="K1018" s="366"/>
      <c r="L1018" s="330"/>
      <c r="N1018" s="348"/>
      <c r="O1018" s="263"/>
    </row>
    <row r="1019">
      <c r="A1019" s="263"/>
      <c r="B1019" s="325" t="str">
        <f t="shared" si="39"/>
        <v/>
      </c>
      <c r="C1019" s="180" t="str">
        <f>L1019&amp;F998&amp;D1019</f>
        <v>Duy Anh.20011</v>
      </c>
      <c r="D1019" s="326">
        <v>11.0</v>
      </c>
      <c r="E1019" s="327"/>
      <c r="F1019" s="328"/>
      <c r="G1019" s="328"/>
      <c r="H1019" s="328"/>
      <c r="I1019" s="329"/>
      <c r="J1019" s="330"/>
      <c r="K1019" s="366"/>
      <c r="L1019" s="330"/>
      <c r="N1019" s="348"/>
      <c r="O1019" s="263"/>
    </row>
    <row r="1020">
      <c r="A1020" s="83"/>
      <c r="B1020" s="325" t="str">
        <f t="shared" si="39"/>
        <v/>
      </c>
      <c r="C1020" s="180" t="str">
        <f>L1020&amp;F998&amp;D1020</f>
        <v>Duy Anh.20012</v>
      </c>
      <c r="D1020" s="326">
        <v>12.0</v>
      </c>
      <c r="E1020" s="327"/>
      <c r="F1020" s="328"/>
      <c r="G1020" s="328"/>
      <c r="H1020" s="328"/>
      <c r="I1020" s="329"/>
      <c r="J1020" s="330"/>
      <c r="K1020" s="366"/>
      <c r="L1020" s="330"/>
      <c r="N1020" s="348"/>
      <c r="O1020" s="83"/>
    </row>
    <row r="1021">
      <c r="A1021" s="83"/>
      <c r="B1021" s="325" t="str">
        <f t="shared" si="39"/>
        <v/>
      </c>
      <c r="C1021" s="180" t="str">
        <f>L1021&amp;F998&amp;D1021</f>
        <v>Duy Anh.20013</v>
      </c>
      <c r="D1021" s="326">
        <v>13.0</v>
      </c>
      <c r="E1021" s="327"/>
      <c r="F1021" s="328"/>
      <c r="G1021" s="328"/>
      <c r="H1021" s="328"/>
      <c r="I1021" s="329"/>
      <c r="J1021" s="330"/>
      <c r="K1021" s="366"/>
      <c r="L1021" s="330"/>
      <c r="N1021" s="348"/>
      <c r="O1021" s="83"/>
    </row>
    <row r="1022">
      <c r="A1022" s="83"/>
      <c r="B1022" s="325" t="str">
        <f t="shared" si="39"/>
        <v/>
      </c>
      <c r="C1022" s="180" t="str">
        <f>L1022&amp;F998&amp;D1022</f>
        <v>Duy Anh.20014</v>
      </c>
      <c r="D1022" s="326">
        <v>14.0</v>
      </c>
      <c r="E1022" s="327"/>
      <c r="F1022" s="328"/>
      <c r="G1022" s="328"/>
      <c r="H1022" s="328"/>
      <c r="I1022" s="329"/>
      <c r="J1022" s="330"/>
      <c r="K1022" s="366"/>
      <c r="L1022" s="330"/>
      <c r="N1022" s="348"/>
      <c r="O1022" s="83"/>
    </row>
    <row r="1023">
      <c r="A1023" s="83"/>
      <c r="B1023" s="367"/>
      <c r="C1023" s="368"/>
      <c r="D1023" s="369"/>
      <c r="E1023" s="368"/>
      <c r="F1023" s="370"/>
      <c r="G1023" s="368"/>
      <c r="H1023" s="368"/>
      <c r="I1023" s="368"/>
      <c r="J1023" s="368"/>
      <c r="K1023" s="368"/>
      <c r="L1023" s="368"/>
      <c r="M1023" s="368"/>
      <c r="N1023" s="371"/>
      <c r="O1023" s="83"/>
    </row>
    <row r="1024">
      <c r="A1024" s="83"/>
      <c r="B1024" s="339"/>
      <c r="D1024" s="339"/>
      <c r="F1024" s="340"/>
      <c r="O1024" s="83"/>
    </row>
    <row r="1025" ht="9.0" customHeight="1">
      <c r="A1025" s="382"/>
      <c r="B1025" s="383"/>
      <c r="C1025" s="384"/>
      <c r="D1025" s="385"/>
      <c r="E1025" s="271"/>
      <c r="F1025" s="386"/>
      <c r="G1025" s="263"/>
      <c r="H1025" s="83"/>
      <c r="I1025" s="263"/>
      <c r="J1025" s="266"/>
      <c r="K1025" s="271"/>
      <c r="L1025" s="382"/>
      <c r="M1025" s="382"/>
      <c r="N1025" s="382"/>
      <c r="O1025" s="382"/>
    </row>
    <row r="1026">
      <c r="A1026" s="382"/>
      <c r="B1026" s="341"/>
      <c r="C1026" s="342"/>
      <c r="D1026" s="343"/>
      <c r="E1026" s="342"/>
      <c r="F1026" s="344"/>
      <c r="G1026" s="342"/>
      <c r="H1026" s="342"/>
      <c r="I1026" s="342"/>
      <c r="J1026" s="342"/>
      <c r="K1026" s="342"/>
      <c r="L1026" s="342"/>
      <c r="M1026" s="342"/>
      <c r="N1026" s="345"/>
      <c r="O1026" s="382"/>
    </row>
    <row r="1027">
      <c r="A1027" s="271"/>
      <c r="B1027" s="346">
        <v>1.0</v>
      </c>
      <c r="D1027" s="287" t="s">
        <v>171</v>
      </c>
      <c r="E1027" s="347" t="s">
        <v>172</v>
      </c>
      <c r="F1027" s="388" t="s">
        <v>94</v>
      </c>
      <c r="G1027" s="290"/>
      <c r="J1027" s="291"/>
      <c r="N1027" s="348"/>
      <c r="O1027" s="271"/>
    </row>
    <row r="1028">
      <c r="A1028" s="271"/>
      <c r="B1028" s="346">
        <v>1.0</v>
      </c>
      <c r="C1028" s="202" t="str">
        <f>E1028&amp;F1028</f>
        <v>Nick Name:Tien.200</v>
      </c>
      <c r="D1028" s="349" t="s">
        <v>173</v>
      </c>
      <c r="E1028" s="347" t="s">
        <v>174</v>
      </c>
      <c r="F1028" s="388" t="s">
        <v>18</v>
      </c>
      <c r="J1028" s="291" t="s">
        <v>175</v>
      </c>
      <c r="L1028" s="298" t="s">
        <v>200</v>
      </c>
      <c r="N1028" s="348"/>
      <c r="O1028" s="271"/>
    </row>
    <row r="1029">
      <c r="A1029" s="271"/>
      <c r="B1029" s="346">
        <v>1.0</v>
      </c>
      <c r="C1029" s="202" t="str">
        <f>E1029&amp;F1028</f>
        <v>Full Name:Tien.200</v>
      </c>
      <c r="D1029" s="349" t="s">
        <v>177</v>
      </c>
      <c r="E1029" s="347" t="s">
        <v>178</v>
      </c>
      <c r="F1029" s="388" t="s">
        <v>166</v>
      </c>
      <c r="J1029" s="291" t="s">
        <v>179</v>
      </c>
      <c r="L1029" s="298" t="s">
        <v>200</v>
      </c>
      <c r="N1029" s="348"/>
      <c r="O1029" s="271"/>
    </row>
    <row r="1030">
      <c r="A1030" s="266"/>
      <c r="B1030" s="346">
        <v>1.0</v>
      </c>
      <c r="C1030" s="202" t="str">
        <f>E1030&amp;F1028</f>
        <v>Position:Tien.200</v>
      </c>
      <c r="D1030" s="349" t="s">
        <v>181</v>
      </c>
      <c r="E1030" s="347" t="s">
        <v>182</v>
      </c>
      <c r="F1030" s="388" t="s">
        <v>235</v>
      </c>
      <c r="J1030" s="291" t="s">
        <v>184</v>
      </c>
      <c r="L1030" s="298" t="s">
        <v>200</v>
      </c>
      <c r="N1030" s="348"/>
      <c r="O1030" s="266"/>
    </row>
    <row r="1031">
      <c r="A1031" s="266"/>
      <c r="B1031" s="346">
        <v>1.0</v>
      </c>
      <c r="C1031" s="202" t="str">
        <f>E1031&amp;F1028</f>
        <v>Birth:Tien.200</v>
      </c>
      <c r="D1031" s="349" t="s">
        <v>185</v>
      </c>
      <c r="E1031" s="347" t="s">
        <v>186</v>
      </c>
      <c r="F1031" s="388" t="s">
        <v>303</v>
      </c>
      <c r="J1031" s="351"/>
      <c r="K1031" s="352"/>
      <c r="L1031" s="352"/>
      <c r="M1031" s="352"/>
      <c r="N1031" s="348"/>
      <c r="O1031" s="266"/>
    </row>
    <row r="1032">
      <c r="A1032" s="266"/>
      <c r="B1032" s="346">
        <v>1.0</v>
      </c>
      <c r="C1032" s="202" t="str">
        <f>E1032&amp;F1028</f>
        <v>Experience:Tien.200</v>
      </c>
      <c r="D1032" s="349" t="s">
        <v>188</v>
      </c>
      <c r="E1032" s="347" t="s">
        <v>189</v>
      </c>
      <c r="F1032" s="289" t="s">
        <v>200</v>
      </c>
      <c r="J1032" s="318"/>
      <c r="K1032" s="352"/>
      <c r="L1032" s="352"/>
      <c r="M1032" s="352"/>
      <c r="N1032" s="348"/>
      <c r="O1032" s="266"/>
    </row>
    <row r="1033">
      <c r="A1033" s="263"/>
      <c r="B1033" s="346"/>
      <c r="C1033" s="374" t="str">
        <f>E1033&amp;F1028</f>
        <v>Quote:Tien.200</v>
      </c>
      <c r="D1033" s="353" t="s">
        <v>191</v>
      </c>
      <c r="E1033" s="354" t="s">
        <v>192</v>
      </c>
      <c r="F1033" s="308" t="s">
        <v>304</v>
      </c>
      <c r="J1033" s="318"/>
      <c r="K1033" s="352"/>
      <c r="L1033" s="352"/>
      <c r="M1033" s="352"/>
      <c r="N1033" s="348"/>
      <c r="O1033" s="263"/>
    </row>
    <row r="1034">
      <c r="A1034" s="263"/>
      <c r="B1034" s="346"/>
      <c r="J1034" s="318"/>
      <c r="K1034" s="352"/>
      <c r="L1034" s="352"/>
      <c r="N1034" s="348"/>
      <c r="O1034" s="263"/>
    </row>
    <row r="1035">
      <c r="A1035" s="263"/>
      <c r="B1035" s="356"/>
      <c r="G1035" s="300" t="e">
        <v>#N/A</v>
      </c>
      <c r="H1035" s="309" t="e">
        <v>#N/A</v>
      </c>
      <c r="J1035" s="318"/>
      <c r="N1035" s="348"/>
      <c r="O1035" s="263"/>
    </row>
    <row r="1036">
      <c r="A1036" s="83"/>
      <c r="B1036" s="356"/>
      <c r="C1036" s="286" t="str">
        <f>G1036&amp;F1028</f>
        <v>❤️️Tien.200</v>
      </c>
      <c r="D1036" s="357"/>
      <c r="E1036" s="358"/>
      <c r="F1036" s="359"/>
      <c r="G1036" s="351" t="s">
        <v>194</v>
      </c>
      <c r="H1036" s="309" t="e">
        <v>#N/A</v>
      </c>
      <c r="J1036" s="360"/>
      <c r="K1036" s="360"/>
      <c r="N1036" s="348"/>
      <c r="O1036" s="83"/>
    </row>
    <row r="1037">
      <c r="A1037" s="83"/>
      <c r="B1037" s="317"/>
      <c r="C1037" s="318"/>
      <c r="D1037" s="361"/>
      <c r="E1037" s="318"/>
      <c r="F1037" s="362"/>
      <c r="G1037" s="318"/>
      <c r="H1037" s="318"/>
      <c r="I1037" s="318"/>
      <c r="J1037" s="318"/>
      <c r="K1037" s="318"/>
      <c r="L1037" s="363"/>
      <c r="M1037" s="363"/>
      <c r="N1037" s="348"/>
      <c r="O1037" s="83"/>
    </row>
    <row r="1038">
      <c r="A1038" s="83"/>
      <c r="B1038" s="317"/>
      <c r="C1038" s="318"/>
      <c r="D1038" s="319" t="s">
        <v>195</v>
      </c>
      <c r="E1038" s="320"/>
      <c r="F1038" s="320"/>
      <c r="G1038" s="320"/>
      <c r="H1038" s="320"/>
      <c r="I1038" s="321" t="s">
        <v>196</v>
      </c>
      <c r="J1038" s="322" t="s">
        <v>197</v>
      </c>
      <c r="K1038" s="323" t="s">
        <v>198</v>
      </c>
      <c r="L1038" s="322" t="s">
        <v>199</v>
      </c>
      <c r="N1038" s="348"/>
      <c r="O1038" s="83"/>
    </row>
    <row r="1039">
      <c r="A1039" s="382"/>
      <c r="B1039" s="325" t="str">
        <f t="shared" ref="B1039:B1052" si="40">if(L1039="complete","🏅",if(L1039="fail","💢",))</f>
        <v/>
      </c>
      <c r="C1039" s="180" t="str">
        <f>L1039&amp;F1028&amp;D1039</f>
        <v>Tien.2001</v>
      </c>
      <c r="D1039" s="326">
        <v>1.0</v>
      </c>
      <c r="E1039" s="327"/>
      <c r="F1039" s="328"/>
      <c r="G1039" s="328"/>
      <c r="H1039" s="328"/>
      <c r="I1039" s="329"/>
      <c r="J1039" s="330"/>
      <c r="K1039" s="365"/>
      <c r="L1039" s="364"/>
      <c r="N1039" s="348"/>
      <c r="O1039" s="382"/>
    </row>
    <row r="1040">
      <c r="A1040" s="382"/>
      <c r="B1040" s="325" t="str">
        <f t="shared" si="40"/>
        <v/>
      </c>
      <c r="C1040" s="180" t="str">
        <f>L1040&amp;F1028&amp;D1040</f>
        <v>Tien.2002</v>
      </c>
      <c r="D1040" s="326">
        <v>2.0</v>
      </c>
      <c r="E1040" s="327"/>
      <c r="F1040" s="328"/>
      <c r="G1040" s="328"/>
      <c r="H1040" s="328"/>
      <c r="I1040" s="329"/>
      <c r="J1040" s="330"/>
      <c r="K1040" s="366"/>
      <c r="L1040" s="364"/>
      <c r="N1040" s="348"/>
      <c r="O1040" s="382"/>
    </row>
    <row r="1041">
      <c r="A1041" s="271"/>
      <c r="B1041" s="325" t="str">
        <f t="shared" si="40"/>
        <v/>
      </c>
      <c r="C1041" s="180" t="str">
        <f>L1041&amp;F1028&amp;D1041</f>
        <v>Tien.2003</v>
      </c>
      <c r="D1041" s="326">
        <v>3.0</v>
      </c>
      <c r="E1041" s="327"/>
      <c r="F1041" s="328"/>
      <c r="G1041" s="328"/>
      <c r="H1041" s="328"/>
      <c r="I1041" s="329"/>
      <c r="J1041" s="330"/>
      <c r="K1041" s="366"/>
      <c r="L1041" s="364"/>
      <c r="N1041" s="348"/>
      <c r="O1041" s="271"/>
    </row>
    <row r="1042">
      <c r="A1042" s="271"/>
      <c r="B1042" s="325" t="str">
        <f t="shared" si="40"/>
        <v/>
      </c>
      <c r="C1042" s="180" t="str">
        <f>L1042&amp;F1028&amp;D1042</f>
        <v>Tien.2004</v>
      </c>
      <c r="D1042" s="326">
        <v>4.0</v>
      </c>
      <c r="E1042" s="327"/>
      <c r="F1042" s="328"/>
      <c r="G1042" s="328"/>
      <c r="H1042" s="328"/>
      <c r="I1042" s="329"/>
      <c r="J1042" s="330"/>
      <c r="K1042" s="365"/>
      <c r="L1042" s="364"/>
      <c r="N1042" s="348"/>
      <c r="O1042" s="271"/>
    </row>
    <row r="1043">
      <c r="A1043" s="271"/>
      <c r="B1043" s="325" t="str">
        <f t="shared" si="40"/>
        <v/>
      </c>
      <c r="C1043" s="180" t="str">
        <f>L1043&amp;F1028&amp;D1043</f>
        <v>Tien.2005</v>
      </c>
      <c r="D1043" s="326">
        <v>5.0</v>
      </c>
      <c r="E1043" s="327"/>
      <c r="F1043" s="328"/>
      <c r="G1043" s="328"/>
      <c r="H1043" s="328"/>
      <c r="I1043" s="329"/>
      <c r="J1043" s="330"/>
      <c r="K1043" s="366"/>
      <c r="L1043" s="330"/>
      <c r="N1043" s="348"/>
      <c r="O1043" s="271"/>
    </row>
    <row r="1044">
      <c r="A1044" s="266"/>
      <c r="B1044" s="325" t="str">
        <f t="shared" si="40"/>
        <v/>
      </c>
      <c r="C1044" s="180" t="str">
        <f>L1044&amp;F1028&amp;D1044</f>
        <v>Tien.2006</v>
      </c>
      <c r="D1044" s="326">
        <v>6.0</v>
      </c>
      <c r="E1044" s="327"/>
      <c r="F1044" s="328"/>
      <c r="G1044" s="328"/>
      <c r="H1044" s="328"/>
      <c r="I1044" s="329"/>
      <c r="J1044" s="330"/>
      <c r="K1044" s="366"/>
      <c r="L1044" s="330"/>
      <c r="N1044" s="348"/>
      <c r="O1044" s="266"/>
    </row>
    <row r="1045">
      <c r="A1045" s="266"/>
      <c r="B1045" s="325" t="str">
        <f t="shared" si="40"/>
        <v/>
      </c>
      <c r="C1045" s="180" t="str">
        <f>L1045&amp;F1028&amp;D1045</f>
        <v>Tien.2007</v>
      </c>
      <c r="D1045" s="326">
        <v>7.0</v>
      </c>
      <c r="E1045" s="327"/>
      <c r="F1045" s="328"/>
      <c r="G1045" s="328"/>
      <c r="H1045" s="328"/>
      <c r="I1045" s="329"/>
      <c r="J1045" s="330"/>
      <c r="K1045" s="366"/>
      <c r="L1045" s="330"/>
      <c r="N1045" s="348"/>
      <c r="O1045" s="266"/>
    </row>
    <row r="1046">
      <c r="A1046" s="266"/>
      <c r="B1046" s="325" t="str">
        <f t="shared" si="40"/>
        <v/>
      </c>
      <c r="C1046" s="180" t="str">
        <f>L1046&amp;F1028&amp;D1046</f>
        <v>Tien.2008</v>
      </c>
      <c r="D1046" s="326">
        <v>8.0</v>
      </c>
      <c r="E1046" s="327"/>
      <c r="F1046" s="328"/>
      <c r="G1046" s="328"/>
      <c r="H1046" s="328"/>
      <c r="I1046" s="329"/>
      <c r="J1046" s="330"/>
      <c r="K1046" s="366"/>
      <c r="L1046" s="330"/>
      <c r="N1046" s="348"/>
      <c r="O1046" s="266"/>
    </row>
    <row r="1047">
      <c r="A1047" s="263"/>
      <c r="B1047" s="325" t="str">
        <f t="shared" si="40"/>
        <v/>
      </c>
      <c r="C1047" s="180" t="str">
        <f>L1047&amp;F1028&amp;D1047</f>
        <v>Tien.2009</v>
      </c>
      <c r="D1047" s="326">
        <v>9.0</v>
      </c>
      <c r="E1047" s="327"/>
      <c r="F1047" s="328"/>
      <c r="G1047" s="328"/>
      <c r="H1047" s="328"/>
      <c r="I1047" s="329"/>
      <c r="J1047" s="330"/>
      <c r="K1047" s="366"/>
      <c r="L1047" s="330"/>
      <c r="N1047" s="348"/>
      <c r="O1047" s="263"/>
    </row>
    <row r="1048">
      <c r="A1048" s="263"/>
      <c r="B1048" s="325" t="str">
        <f t="shared" si="40"/>
        <v/>
      </c>
      <c r="C1048" s="180" t="str">
        <f>L1048&amp;F1028&amp;D1048</f>
        <v>Tien.20010</v>
      </c>
      <c r="D1048" s="326">
        <v>10.0</v>
      </c>
      <c r="E1048" s="327"/>
      <c r="F1048" s="328"/>
      <c r="G1048" s="328"/>
      <c r="H1048" s="328"/>
      <c r="I1048" s="329"/>
      <c r="J1048" s="330"/>
      <c r="K1048" s="366"/>
      <c r="L1048" s="330"/>
      <c r="N1048" s="348"/>
      <c r="O1048" s="263"/>
    </row>
    <row r="1049">
      <c r="A1049" s="263"/>
      <c r="B1049" s="325" t="str">
        <f t="shared" si="40"/>
        <v/>
      </c>
      <c r="C1049" s="180" t="str">
        <f>L1049&amp;F1028&amp;D1049</f>
        <v>Tien.20011</v>
      </c>
      <c r="D1049" s="326">
        <v>11.0</v>
      </c>
      <c r="E1049" s="327"/>
      <c r="F1049" s="328"/>
      <c r="G1049" s="328"/>
      <c r="H1049" s="328"/>
      <c r="I1049" s="329"/>
      <c r="J1049" s="330"/>
      <c r="K1049" s="366"/>
      <c r="L1049" s="330"/>
      <c r="N1049" s="348"/>
      <c r="O1049" s="263"/>
    </row>
    <row r="1050">
      <c r="A1050" s="83"/>
      <c r="B1050" s="325" t="str">
        <f t="shared" si="40"/>
        <v/>
      </c>
      <c r="C1050" s="180" t="str">
        <f>L1050&amp;F1028&amp;D1050</f>
        <v>Tien.20012</v>
      </c>
      <c r="D1050" s="326">
        <v>12.0</v>
      </c>
      <c r="E1050" s="327"/>
      <c r="F1050" s="328"/>
      <c r="G1050" s="328"/>
      <c r="H1050" s="328"/>
      <c r="I1050" s="329"/>
      <c r="J1050" s="330"/>
      <c r="K1050" s="366"/>
      <c r="L1050" s="330"/>
      <c r="N1050" s="348"/>
      <c r="O1050" s="83"/>
    </row>
    <row r="1051">
      <c r="A1051" s="83"/>
      <c r="B1051" s="325" t="str">
        <f t="shared" si="40"/>
        <v/>
      </c>
      <c r="C1051" s="180" t="str">
        <f>L1051&amp;F1028&amp;D1051</f>
        <v>Tien.20013</v>
      </c>
      <c r="D1051" s="326">
        <v>13.0</v>
      </c>
      <c r="E1051" s="327"/>
      <c r="F1051" s="328"/>
      <c r="G1051" s="328"/>
      <c r="H1051" s="328"/>
      <c r="I1051" s="329"/>
      <c r="J1051" s="330"/>
      <c r="K1051" s="366"/>
      <c r="L1051" s="330"/>
      <c r="N1051" s="348"/>
      <c r="O1051" s="83"/>
    </row>
    <row r="1052">
      <c r="A1052" s="83"/>
      <c r="B1052" s="325" t="str">
        <f t="shared" si="40"/>
        <v/>
      </c>
      <c r="C1052" s="180" t="str">
        <f>L1052&amp;F1028&amp;D1052</f>
        <v>Tien.20014</v>
      </c>
      <c r="D1052" s="326">
        <v>14.0</v>
      </c>
      <c r="E1052" s="327"/>
      <c r="F1052" s="328"/>
      <c r="G1052" s="328"/>
      <c r="H1052" s="328"/>
      <c r="I1052" s="329"/>
      <c r="J1052" s="330"/>
      <c r="K1052" s="366"/>
      <c r="L1052" s="330"/>
      <c r="N1052" s="348"/>
      <c r="O1052" s="83"/>
    </row>
    <row r="1053">
      <c r="A1053" s="83"/>
      <c r="B1053" s="367"/>
      <c r="C1053" s="368"/>
      <c r="D1053" s="369"/>
      <c r="E1053" s="368"/>
      <c r="F1053" s="370"/>
      <c r="G1053" s="368"/>
      <c r="H1053" s="368"/>
      <c r="I1053" s="368"/>
      <c r="J1053" s="368"/>
      <c r="K1053" s="368"/>
      <c r="L1053" s="368"/>
      <c r="M1053" s="368"/>
      <c r="N1053" s="371"/>
      <c r="O1053" s="83"/>
    </row>
    <row r="1054">
      <c r="A1054" s="83"/>
      <c r="B1054" s="339"/>
      <c r="D1054" s="339"/>
      <c r="F1054" s="340"/>
      <c r="O1054" s="83"/>
    </row>
    <row r="1055" ht="9.0" hidden="1" customHeight="1">
      <c r="A1055" s="382"/>
      <c r="B1055" s="383"/>
      <c r="C1055" s="384"/>
      <c r="D1055" s="385"/>
      <c r="E1055" s="271"/>
      <c r="F1055" s="386"/>
      <c r="G1055" s="263"/>
      <c r="H1055" s="83"/>
      <c r="I1055" s="263"/>
      <c r="J1055" s="266"/>
      <c r="K1055" s="271"/>
      <c r="L1055" s="382"/>
      <c r="M1055" s="382"/>
      <c r="N1055" s="382"/>
      <c r="O1055" s="382"/>
    </row>
    <row r="1056" hidden="1">
      <c r="A1056" s="382"/>
      <c r="B1056" s="341"/>
      <c r="C1056" s="342"/>
      <c r="D1056" s="343"/>
      <c r="E1056" s="342"/>
      <c r="F1056" s="344"/>
      <c r="G1056" s="342"/>
      <c r="H1056" s="342"/>
      <c r="I1056" s="342"/>
      <c r="J1056" s="342"/>
      <c r="K1056" s="342"/>
      <c r="L1056" s="342"/>
      <c r="M1056" s="342"/>
      <c r="N1056" s="345"/>
      <c r="O1056" s="382"/>
    </row>
    <row r="1057" hidden="1">
      <c r="A1057" s="271"/>
      <c r="B1057" s="346">
        <v>1.0</v>
      </c>
      <c r="D1057" s="287" t="s">
        <v>171</v>
      </c>
      <c r="E1057" s="347" t="s">
        <v>172</v>
      </c>
      <c r="F1057" s="388" t="s">
        <v>200</v>
      </c>
      <c r="G1057" s="290"/>
      <c r="J1057" s="291"/>
      <c r="N1057" s="348"/>
      <c r="O1057" s="271"/>
    </row>
    <row r="1058" hidden="1">
      <c r="A1058" s="271"/>
      <c r="B1058" s="346">
        <v>1.0</v>
      </c>
      <c r="C1058" s="202" t="str">
        <f>E1058&amp;F1058</f>
        <v>Nick Name:...</v>
      </c>
      <c r="D1058" s="349" t="s">
        <v>173</v>
      </c>
      <c r="E1058" s="347" t="s">
        <v>174</v>
      </c>
      <c r="F1058" s="388" t="s">
        <v>200</v>
      </c>
      <c r="J1058" s="291" t="s">
        <v>175</v>
      </c>
      <c r="L1058" s="298" t="s">
        <v>200</v>
      </c>
      <c r="N1058" s="348"/>
      <c r="O1058" s="271"/>
    </row>
    <row r="1059" hidden="1">
      <c r="A1059" s="271"/>
      <c r="B1059" s="346">
        <v>1.0</v>
      </c>
      <c r="C1059" s="202" t="str">
        <f>E1059&amp;F1058</f>
        <v>Full Name:...</v>
      </c>
      <c r="D1059" s="349" t="s">
        <v>177</v>
      </c>
      <c r="E1059" s="347" t="s">
        <v>178</v>
      </c>
      <c r="F1059" s="388" t="s">
        <v>200</v>
      </c>
      <c r="J1059" s="291" t="s">
        <v>179</v>
      </c>
      <c r="L1059" s="298" t="s">
        <v>200</v>
      </c>
      <c r="N1059" s="348"/>
      <c r="O1059" s="271"/>
    </row>
    <row r="1060" hidden="1">
      <c r="A1060" s="266"/>
      <c r="B1060" s="346">
        <v>1.0</v>
      </c>
      <c r="C1060" s="202" t="str">
        <f>E1060&amp;F1058</f>
        <v>Position:...</v>
      </c>
      <c r="D1060" s="349" t="s">
        <v>181</v>
      </c>
      <c r="E1060" s="347" t="s">
        <v>182</v>
      </c>
      <c r="F1060" s="388" t="s">
        <v>200</v>
      </c>
      <c r="J1060" s="291" t="s">
        <v>184</v>
      </c>
      <c r="L1060" s="298" t="s">
        <v>200</v>
      </c>
      <c r="N1060" s="348"/>
      <c r="O1060" s="266"/>
    </row>
    <row r="1061" hidden="1">
      <c r="A1061" s="266"/>
      <c r="B1061" s="346">
        <v>1.0</v>
      </c>
      <c r="C1061" s="202" t="str">
        <f>E1061&amp;F1058</f>
        <v>Birth:...</v>
      </c>
      <c r="D1061" s="349" t="s">
        <v>185</v>
      </c>
      <c r="E1061" s="347" t="s">
        <v>186</v>
      </c>
      <c r="F1061" s="388" t="s">
        <v>200</v>
      </c>
      <c r="J1061" s="351"/>
      <c r="K1061" s="352"/>
      <c r="L1061" s="352"/>
      <c r="M1061" s="352"/>
      <c r="N1061" s="348"/>
      <c r="O1061" s="266"/>
    </row>
    <row r="1062" hidden="1">
      <c r="A1062" s="266"/>
      <c r="B1062" s="346">
        <v>1.0</v>
      </c>
      <c r="C1062" s="202" t="str">
        <f>E1062&amp;F1058</f>
        <v>Experience:...</v>
      </c>
      <c r="D1062" s="349" t="s">
        <v>188</v>
      </c>
      <c r="E1062" s="347" t="s">
        <v>189</v>
      </c>
      <c r="F1062" s="388" t="s">
        <v>200</v>
      </c>
      <c r="J1062" s="318"/>
      <c r="K1062" s="352"/>
      <c r="L1062" s="352"/>
      <c r="M1062" s="352"/>
      <c r="N1062" s="348"/>
      <c r="O1062" s="266"/>
    </row>
    <row r="1063" hidden="1">
      <c r="A1063" s="263"/>
      <c r="B1063" s="346"/>
      <c r="C1063" s="374" t="str">
        <f>E1063&amp;F1058</f>
        <v>Quote:...</v>
      </c>
      <c r="D1063" s="353" t="s">
        <v>191</v>
      </c>
      <c r="E1063" s="354" t="s">
        <v>192</v>
      </c>
      <c r="F1063" s="308" t="s">
        <v>200</v>
      </c>
      <c r="J1063" s="318"/>
      <c r="K1063" s="352"/>
      <c r="L1063" s="352"/>
      <c r="M1063" s="352"/>
      <c r="N1063" s="348"/>
      <c r="O1063" s="263"/>
    </row>
    <row r="1064" hidden="1">
      <c r="A1064" s="263"/>
      <c r="B1064" s="346"/>
      <c r="J1064" s="318"/>
      <c r="K1064" s="352"/>
      <c r="L1064" s="352"/>
      <c r="N1064" s="348"/>
      <c r="O1064" s="263"/>
    </row>
    <row r="1065" hidden="1">
      <c r="A1065" s="263"/>
      <c r="B1065" s="356"/>
      <c r="G1065" s="300" t="str">
        <f>If(H1065&gt;=0,"🔴","💣")</f>
        <v>🔴</v>
      </c>
      <c r="H1065" s="309">
        <f>if(F1058="...",0,vlookup(F1058,Summary!$E:$V,18,false))</f>
        <v>0</v>
      </c>
      <c r="J1065" s="318"/>
      <c r="N1065" s="348"/>
      <c r="O1065" s="263"/>
    </row>
    <row r="1066" hidden="1">
      <c r="A1066" s="83"/>
      <c r="B1066" s="356"/>
      <c r="C1066" s="286" t="str">
        <f>G1066&amp;F1058</f>
        <v>❤️️...</v>
      </c>
      <c r="D1066" s="357"/>
      <c r="E1066" s="358"/>
      <c r="F1066" s="359"/>
      <c r="G1066" s="351" t="s">
        <v>194</v>
      </c>
      <c r="H1066" s="309" t="str">
        <f>sumif(L1069:L1082,"complete",K1069:K1082)-vlookup(F1058,ADDSTORE!$M$3:$O$38,3,false)</f>
        <v>#N/A</v>
      </c>
      <c r="J1066" s="360"/>
      <c r="K1066" s="360"/>
      <c r="N1066" s="348"/>
      <c r="O1066" s="83"/>
    </row>
    <row r="1067" hidden="1">
      <c r="A1067" s="83"/>
      <c r="B1067" s="317"/>
      <c r="C1067" s="318"/>
      <c r="D1067" s="361"/>
      <c r="E1067" s="318"/>
      <c r="F1067" s="362"/>
      <c r="G1067" s="318"/>
      <c r="H1067" s="318"/>
      <c r="I1067" s="318"/>
      <c r="J1067" s="318"/>
      <c r="K1067" s="318"/>
      <c r="L1067" s="363"/>
      <c r="M1067" s="363"/>
      <c r="N1067" s="348"/>
      <c r="O1067" s="83"/>
    </row>
    <row r="1068" hidden="1">
      <c r="A1068" s="83"/>
      <c r="B1068" s="317"/>
      <c r="C1068" s="318"/>
      <c r="D1068" s="319" t="s">
        <v>195</v>
      </c>
      <c r="E1068" s="320"/>
      <c r="F1068" s="320"/>
      <c r="G1068" s="320"/>
      <c r="H1068" s="320"/>
      <c r="I1068" s="321" t="s">
        <v>196</v>
      </c>
      <c r="J1068" s="322" t="s">
        <v>197</v>
      </c>
      <c r="K1068" s="323" t="s">
        <v>198</v>
      </c>
      <c r="L1068" s="322" t="s">
        <v>199</v>
      </c>
      <c r="N1068" s="348"/>
      <c r="O1068" s="83"/>
    </row>
    <row r="1069" hidden="1">
      <c r="A1069" s="382"/>
      <c r="B1069" s="325" t="str">
        <f t="shared" ref="B1069:B1082" si="41">if(L1069="complete","🏅",if(L1069="fail","💢",))</f>
        <v/>
      </c>
      <c r="C1069" s="180" t="str">
        <f>L1069&amp;F1058&amp;D1069</f>
        <v>...1</v>
      </c>
      <c r="D1069" s="326">
        <v>1.0</v>
      </c>
      <c r="E1069" s="327"/>
      <c r="F1069" s="328"/>
      <c r="G1069" s="328"/>
      <c r="H1069" s="328"/>
      <c r="I1069" s="329"/>
      <c r="J1069" s="330"/>
      <c r="K1069" s="365"/>
      <c r="L1069" s="364"/>
      <c r="N1069" s="348"/>
      <c r="O1069" s="382"/>
    </row>
    <row r="1070" hidden="1">
      <c r="A1070" s="382"/>
      <c r="B1070" s="325" t="str">
        <f t="shared" si="41"/>
        <v/>
      </c>
      <c r="C1070" s="180" t="str">
        <f>L1070&amp;F1058&amp;D1070</f>
        <v>...2</v>
      </c>
      <c r="D1070" s="326">
        <v>2.0</v>
      </c>
      <c r="E1070" s="327"/>
      <c r="F1070" s="328"/>
      <c r="G1070" s="328"/>
      <c r="H1070" s="328"/>
      <c r="I1070" s="329"/>
      <c r="J1070" s="330"/>
      <c r="K1070" s="366"/>
      <c r="L1070" s="364"/>
      <c r="N1070" s="348"/>
      <c r="O1070" s="382"/>
    </row>
    <row r="1071" hidden="1">
      <c r="A1071" s="271"/>
      <c r="B1071" s="325" t="str">
        <f t="shared" si="41"/>
        <v/>
      </c>
      <c r="C1071" s="180" t="str">
        <f>L1071&amp;F1058&amp;D1071</f>
        <v>...3</v>
      </c>
      <c r="D1071" s="326">
        <v>3.0</v>
      </c>
      <c r="E1071" s="327"/>
      <c r="F1071" s="328"/>
      <c r="G1071" s="328"/>
      <c r="H1071" s="328"/>
      <c r="I1071" s="329"/>
      <c r="J1071" s="330"/>
      <c r="K1071" s="366"/>
      <c r="L1071" s="364"/>
      <c r="N1071" s="348"/>
      <c r="O1071" s="271"/>
    </row>
    <row r="1072" hidden="1">
      <c r="A1072" s="271"/>
      <c r="B1072" s="325" t="str">
        <f t="shared" si="41"/>
        <v/>
      </c>
      <c r="C1072" s="180" t="str">
        <f>L1072&amp;F1058&amp;D1072</f>
        <v>...4</v>
      </c>
      <c r="D1072" s="326">
        <v>4.0</v>
      </c>
      <c r="E1072" s="327"/>
      <c r="F1072" s="328"/>
      <c r="G1072" s="328"/>
      <c r="H1072" s="328"/>
      <c r="I1072" s="329"/>
      <c r="J1072" s="330"/>
      <c r="K1072" s="365"/>
      <c r="L1072" s="364"/>
      <c r="N1072" s="348"/>
      <c r="O1072" s="271"/>
    </row>
    <row r="1073" hidden="1">
      <c r="A1073" s="271"/>
      <c r="B1073" s="325" t="str">
        <f t="shared" si="41"/>
        <v/>
      </c>
      <c r="C1073" s="180" t="str">
        <f>L1073&amp;F1058&amp;D1073</f>
        <v>...5</v>
      </c>
      <c r="D1073" s="326">
        <v>5.0</v>
      </c>
      <c r="E1073" s="327"/>
      <c r="F1073" s="328"/>
      <c r="G1073" s="328"/>
      <c r="H1073" s="328"/>
      <c r="I1073" s="329"/>
      <c r="J1073" s="330"/>
      <c r="K1073" s="366"/>
      <c r="L1073" s="330"/>
      <c r="N1073" s="348"/>
      <c r="O1073" s="271"/>
    </row>
    <row r="1074" hidden="1">
      <c r="A1074" s="266"/>
      <c r="B1074" s="325" t="str">
        <f t="shared" si="41"/>
        <v/>
      </c>
      <c r="C1074" s="180" t="str">
        <f>L1074&amp;F1058&amp;D1074</f>
        <v>...6</v>
      </c>
      <c r="D1074" s="326">
        <v>6.0</v>
      </c>
      <c r="E1074" s="327"/>
      <c r="F1074" s="328"/>
      <c r="G1074" s="328"/>
      <c r="H1074" s="328"/>
      <c r="I1074" s="329"/>
      <c r="J1074" s="330"/>
      <c r="K1074" s="366"/>
      <c r="L1074" s="330"/>
      <c r="N1074" s="348"/>
      <c r="O1074" s="266"/>
    </row>
    <row r="1075" hidden="1">
      <c r="A1075" s="266"/>
      <c r="B1075" s="325" t="str">
        <f t="shared" si="41"/>
        <v/>
      </c>
      <c r="C1075" s="180" t="str">
        <f>L1075&amp;F1058&amp;D1075</f>
        <v>...7</v>
      </c>
      <c r="D1075" s="326">
        <v>7.0</v>
      </c>
      <c r="E1075" s="327"/>
      <c r="F1075" s="328"/>
      <c r="G1075" s="328"/>
      <c r="H1075" s="328"/>
      <c r="I1075" s="329"/>
      <c r="J1075" s="330"/>
      <c r="K1075" s="366"/>
      <c r="L1075" s="330"/>
      <c r="N1075" s="348"/>
      <c r="O1075" s="266"/>
    </row>
    <row r="1076" hidden="1">
      <c r="A1076" s="266"/>
      <c r="B1076" s="325" t="str">
        <f t="shared" si="41"/>
        <v/>
      </c>
      <c r="C1076" s="180" t="str">
        <f>L1076&amp;F1058&amp;D1076</f>
        <v>...8</v>
      </c>
      <c r="D1076" s="326">
        <v>8.0</v>
      </c>
      <c r="E1076" s="327"/>
      <c r="F1076" s="328"/>
      <c r="G1076" s="328"/>
      <c r="H1076" s="328"/>
      <c r="I1076" s="329"/>
      <c r="J1076" s="330"/>
      <c r="K1076" s="366"/>
      <c r="L1076" s="330"/>
      <c r="N1076" s="348"/>
      <c r="O1076" s="266"/>
    </row>
    <row r="1077" hidden="1">
      <c r="A1077" s="263"/>
      <c r="B1077" s="325" t="str">
        <f t="shared" si="41"/>
        <v/>
      </c>
      <c r="C1077" s="180" t="str">
        <f>L1077&amp;F1058&amp;D1077</f>
        <v>...9</v>
      </c>
      <c r="D1077" s="326">
        <v>9.0</v>
      </c>
      <c r="E1077" s="327"/>
      <c r="F1077" s="328"/>
      <c r="G1077" s="328"/>
      <c r="H1077" s="328"/>
      <c r="I1077" s="329"/>
      <c r="J1077" s="330"/>
      <c r="K1077" s="366"/>
      <c r="L1077" s="330"/>
      <c r="N1077" s="348"/>
      <c r="O1077" s="263"/>
    </row>
    <row r="1078" hidden="1">
      <c r="A1078" s="263"/>
      <c r="B1078" s="325" t="str">
        <f t="shared" si="41"/>
        <v/>
      </c>
      <c r="C1078" s="180" t="str">
        <f>L1078&amp;F1058&amp;D1078</f>
        <v>...10</v>
      </c>
      <c r="D1078" s="326">
        <v>10.0</v>
      </c>
      <c r="E1078" s="327"/>
      <c r="F1078" s="328"/>
      <c r="G1078" s="328"/>
      <c r="H1078" s="328"/>
      <c r="I1078" s="329"/>
      <c r="J1078" s="330"/>
      <c r="K1078" s="366"/>
      <c r="L1078" s="330"/>
      <c r="N1078" s="348"/>
      <c r="O1078" s="263"/>
    </row>
    <row r="1079" hidden="1">
      <c r="A1079" s="263"/>
      <c r="B1079" s="325" t="str">
        <f t="shared" si="41"/>
        <v/>
      </c>
      <c r="C1079" s="180" t="str">
        <f>L1079&amp;F1058&amp;D1079</f>
        <v>...11</v>
      </c>
      <c r="D1079" s="326">
        <v>11.0</v>
      </c>
      <c r="E1079" s="327"/>
      <c r="F1079" s="328"/>
      <c r="G1079" s="328"/>
      <c r="H1079" s="328"/>
      <c r="I1079" s="329"/>
      <c r="J1079" s="330"/>
      <c r="K1079" s="366"/>
      <c r="L1079" s="330"/>
      <c r="N1079" s="348"/>
      <c r="O1079" s="263"/>
    </row>
    <row r="1080" hidden="1">
      <c r="A1080" s="83"/>
      <c r="B1080" s="325" t="str">
        <f t="shared" si="41"/>
        <v/>
      </c>
      <c r="C1080" s="180" t="str">
        <f>L1080&amp;F1058&amp;D1080</f>
        <v>...12</v>
      </c>
      <c r="D1080" s="326">
        <v>12.0</v>
      </c>
      <c r="E1080" s="327"/>
      <c r="F1080" s="328"/>
      <c r="G1080" s="328"/>
      <c r="H1080" s="328"/>
      <c r="I1080" s="329"/>
      <c r="J1080" s="330"/>
      <c r="K1080" s="366"/>
      <c r="L1080" s="330"/>
      <c r="N1080" s="348"/>
      <c r="O1080" s="83"/>
    </row>
    <row r="1081" hidden="1">
      <c r="A1081" s="83"/>
      <c r="B1081" s="325" t="str">
        <f t="shared" si="41"/>
        <v/>
      </c>
      <c r="C1081" s="180" t="str">
        <f>L1081&amp;F1058&amp;D1081</f>
        <v>...13</v>
      </c>
      <c r="D1081" s="326">
        <v>13.0</v>
      </c>
      <c r="E1081" s="327"/>
      <c r="F1081" s="328"/>
      <c r="G1081" s="328"/>
      <c r="H1081" s="328"/>
      <c r="I1081" s="329"/>
      <c r="J1081" s="330"/>
      <c r="K1081" s="366"/>
      <c r="L1081" s="330"/>
      <c r="N1081" s="348"/>
      <c r="O1081" s="83"/>
    </row>
    <row r="1082" hidden="1">
      <c r="A1082" s="83"/>
      <c r="B1082" s="325" t="str">
        <f t="shared" si="41"/>
        <v/>
      </c>
      <c r="C1082" s="180" t="str">
        <f>L1082&amp;F1058&amp;D1082</f>
        <v>...14</v>
      </c>
      <c r="D1082" s="326">
        <v>14.0</v>
      </c>
      <c r="E1082" s="327"/>
      <c r="F1082" s="328"/>
      <c r="G1082" s="328"/>
      <c r="H1082" s="328"/>
      <c r="I1082" s="329"/>
      <c r="J1082" s="330"/>
      <c r="K1082" s="366"/>
      <c r="L1082" s="330"/>
      <c r="N1082" s="348"/>
      <c r="O1082" s="83"/>
    </row>
    <row r="1083" hidden="1">
      <c r="A1083" s="83"/>
      <c r="B1083" s="367"/>
      <c r="C1083" s="368"/>
      <c r="D1083" s="369"/>
      <c r="E1083" s="368"/>
      <c r="F1083" s="370"/>
      <c r="G1083" s="368"/>
      <c r="H1083" s="368"/>
      <c r="I1083" s="368"/>
      <c r="J1083" s="368"/>
      <c r="K1083" s="406"/>
      <c r="L1083" s="368"/>
      <c r="M1083" s="368"/>
      <c r="N1083" s="371"/>
      <c r="O1083" s="83"/>
    </row>
    <row r="1084" hidden="1">
      <c r="A1084" s="83"/>
      <c r="B1084" s="407"/>
      <c r="C1084" s="83"/>
      <c r="D1084" s="407"/>
      <c r="E1084" s="83"/>
      <c r="F1084" s="408"/>
      <c r="G1084" s="83"/>
      <c r="H1084" s="83"/>
      <c r="I1084" s="83"/>
      <c r="J1084" s="83"/>
      <c r="K1084" s="83"/>
      <c r="L1084" s="83"/>
      <c r="M1084" s="83"/>
      <c r="N1084" s="83"/>
      <c r="O1084" s="83"/>
    </row>
    <row r="1085" hidden="1">
      <c r="B1085" s="339"/>
      <c r="D1085" s="339"/>
      <c r="F1085" s="340"/>
    </row>
    <row r="1086" hidden="1">
      <c r="B1086" s="339"/>
      <c r="D1086" s="339"/>
      <c r="F1086" s="340"/>
    </row>
    <row r="1087" hidden="1">
      <c r="B1087" s="339"/>
      <c r="D1087" s="339"/>
      <c r="F1087" s="340"/>
    </row>
    <row r="1088" hidden="1">
      <c r="B1088" s="339"/>
      <c r="D1088" s="339"/>
      <c r="F1088" s="340"/>
    </row>
    <row r="1089" hidden="1">
      <c r="B1089" s="339"/>
      <c r="D1089" s="339"/>
      <c r="F1089" s="340"/>
    </row>
    <row r="1090" hidden="1">
      <c r="B1090" s="339"/>
      <c r="D1090" s="339"/>
      <c r="F1090" s="340"/>
    </row>
    <row r="1091" hidden="1">
      <c r="B1091" s="339"/>
      <c r="D1091" s="339"/>
      <c r="F1091" s="340"/>
    </row>
    <row r="1092" hidden="1">
      <c r="B1092" s="339"/>
      <c r="D1092" s="339"/>
      <c r="F1092" s="340"/>
    </row>
    <row r="1093" hidden="1">
      <c r="B1093" s="339"/>
      <c r="D1093" s="339"/>
      <c r="F1093" s="340"/>
    </row>
    <row r="1094" hidden="1">
      <c r="B1094" s="339"/>
      <c r="D1094" s="339"/>
      <c r="F1094" s="340"/>
    </row>
    <row r="1095" hidden="1">
      <c r="B1095" s="339"/>
      <c r="D1095" s="339"/>
      <c r="F1095" s="340"/>
    </row>
    <row r="1096" hidden="1">
      <c r="B1096" s="339"/>
      <c r="D1096" s="339"/>
      <c r="F1096" s="340"/>
    </row>
    <row r="1097" hidden="1">
      <c r="B1097" s="339"/>
      <c r="D1097" s="339"/>
      <c r="F1097" s="340"/>
    </row>
    <row r="1098" hidden="1">
      <c r="B1098" s="339"/>
      <c r="D1098" s="339"/>
      <c r="F1098" s="340"/>
    </row>
    <row r="1099" hidden="1">
      <c r="B1099" s="339"/>
      <c r="D1099" s="339"/>
      <c r="F1099" s="340"/>
    </row>
    <row r="1100" hidden="1">
      <c r="B1100" s="339"/>
      <c r="D1100" s="339"/>
      <c r="F1100" s="340"/>
    </row>
    <row r="1101" hidden="1">
      <c r="B1101" s="339"/>
      <c r="D1101" s="339"/>
      <c r="F1101" s="340"/>
    </row>
    <row r="1102" hidden="1">
      <c r="B1102" s="339"/>
      <c r="D1102" s="339"/>
      <c r="F1102" s="340"/>
    </row>
    <row r="1103" hidden="1">
      <c r="B1103" s="339"/>
      <c r="D1103" s="339"/>
      <c r="F1103" s="340"/>
    </row>
    <row r="1104" hidden="1">
      <c r="B1104" s="339"/>
      <c r="D1104" s="339"/>
      <c r="F1104" s="340"/>
    </row>
    <row r="1105" hidden="1">
      <c r="B1105" s="339"/>
      <c r="D1105" s="339"/>
      <c r="F1105" s="340"/>
    </row>
    <row r="1106" hidden="1">
      <c r="B1106" s="339"/>
      <c r="D1106" s="339"/>
      <c r="F1106" s="340"/>
    </row>
    <row r="1107" hidden="1">
      <c r="B1107" s="339"/>
      <c r="C1107" s="86" t="str">
        <f t="shared" ref="C1107:C2178" si="42">"complete"&amp;C17</f>
        <v>completeTrang.6001</v>
      </c>
      <c r="D1107" s="339"/>
      <c r="F1107" s="340"/>
    </row>
    <row r="1108" hidden="1">
      <c r="B1108" s="339"/>
      <c r="C1108" s="86" t="str">
        <f t="shared" si="42"/>
        <v>completeTrang.6002</v>
      </c>
      <c r="D1108" s="339"/>
      <c r="F1108" s="340"/>
    </row>
    <row r="1109" hidden="1">
      <c r="B1109" s="339"/>
      <c r="C1109" s="86" t="str">
        <f t="shared" si="42"/>
        <v>completeTrang.6003</v>
      </c>
      <c r="D1109" s="339"/>
      <c r="F1109" s="340"/>
    </row>
    <row r="1110" hidden="1">
      <c r="B1110" s="339"/>
      <c r="C1110" s="86" t="str">
        <f t="shared" si="42"/>
        <v>completeTrang.6004</v>
      </c>
      <c r="D1110" s="339"/>
      <c r="F1110" s="340"/>
    </row>
    <row r="1111" hidden="1">
      <c r="B1111" s="339"/>
      <c r="C1111" s="86" t="str">
        <f t="shared" si="42"/>
        <v>completeTrang.6005</v>
      </c>
      <c r="D1111" s="339"/>
      <c r="F1111" s="340"/>
    </row>
    <row r="1112" hidden="1">
      <c r="B1112" s="339"/>
      <c r="C1112" s="86" t="str">
        <f t="shared" si="42"/>
        <v>completeTrang.6006</v>
      </c>
      <c r="D1112" s="339"/>
      <c r="F1112" s="340"/>
    </row>
    <row r="1113" hidden="1">
      <c r="B1113" s="339"/>
      <c r="C1113" s="86" t="str">
        <f t="shared" si="42"/>
        <v>completeTrang.6007</v>
      </c>
      <c r="D1113" s="339"/>
      <c r="F1113" s="340"/>
    </row>
    <row r="1114" hidden="1">
      <c r="B1114" s="339"/>
      <c r="C1114" s="86" t="str">
        <f t="shared" si="42"/>
        <v>completeTrang.6008</v>
      </c>
      <c r="D1114" s="339"/>
      <c r="F1114" s="340"/>
    </row>
    <row r="1115" hidden="1">
      <c r="B1115" s="339"/>
      <c r="C1115" s="86" t="str">
        <f t="shared" si="42"/>
        <v>completeTrang.6009</v>
      </c>
      <c r="D1115" s="339"/>
      <c r="F1115" s="340"/>
    </row>
    <row r="1116" hidden="1">
      <c r="B1116" s="339"/>
      <c r="C1116" s="86" t="str">
        <f t="shared" si="42"/>
        <v>completeTrang.60010</v>
      </c>
      <c r="D1116" s="339"/>
      <c r="F1116" s="340"/>
    </row>
    <row r="1117" hidden="1">
      <c r="B1117" s="339"/>
      <c r="C1117" s="86" t="str">
        <f t="shared" si="42"/>
        <v>completeTrang.60011</v>
      </c>
      <c r="D1117" s="339"/>
      <c r="F1117" s="340"/>
    </row>
    <row r="1118" hidden="1">
      <c r="B1118" s="339"/>
      <c r="C1118" s="86" t="str">
        <f t="shared" si="42"/>
        <v>completeTrang.60012</v>
      </c>
      <c r="D1118" s="339"/>
      <c r="F1118" s="340"/>
    </row>
    <row r="1119" hidden="1">
      <c r="B1119" s="339"/>
      <c r="C1119" s="86" t="str">
        <f t="shared" si="42"/>
        <v>completeTrang.60013</v>
      </c>
      <c r="D1119" s="339"/>
      <c r="F1119" s="340"/>
    </row>
    <row r="1120" hidden="1">
      <c r="B1120" s="339"/>
      <c r="C1120" s="86" t="str">
        <f t="shared" si="42"/>
        <v>completeTrang.60014</v>
      </c>
      <c r="D1120" s="339"/>
      <c r="F1120" s="340"/>
    </row>
    <row r="1121" hidden="1">
      <c r="B1121" s="339"/>
      <c r="C1121" s="86" t="str">
        <f t="shared" si="42"/>
        <v>complete</v>
      </c>
      <c r="D1121" s="339"/>
      <c r="F1121" s="340"/>
    </row>
    <row r="1122" hidden="1">
      <c r="B1122" s="339"/>
      <c r="C1122" s="86" t="str">
        <f t="shared" si="42"/>
        <v>complete</v>
      </c>
      <c r="D1122" s="339"/>
      <c r="F1122" s="340"/>
    </row>
    <row r="1123" hidden="1">
      <c r="B1123" s="339"/>
      <c r="C1123" s="86" t="str">
        <f t="shared" si="42"/>
        <v>complete</v>
      </c>
      <c r="D1123" s="339"/>
      <c r="F1123" s="340"/>
    </row>
    <row r="1124" hidden="1">
      <c r="B1124" s="339"/>
      <c r="C1124" s="86" t="str">
        <f t="shared" si="42"/>
        <v>complete</v>
      </c>
      <c r="D1124" s="339"/>
      <c r="F1124" s="340"/>
    </row>
    <row r="1125" hidden="1">
      <c r="B1125" s="339"/>
      <c r="C1125" s="86" t="str">
        <f t="shared" si="42"/>
        <v>complete</v>
      </c>
      <c r="D1125" s="339"/>
      <c r="F1125" s="340"/>
    </row>
    <row r="1126" hidden="1">
      <c r="B1126" s="339"/>
      <c r="C1126" s="86" t="str">
        <f t="shared" si="42"/>
        <v>completeNick Name:Tam.500</v>
      </c>
      <c r="D1126" s="339"/>
      <c r="F1126" s="340"/>
    </row>
    <row r="1127" hidden="1">
      <c r="B1127" s="339"/>
      <c r="C1127" s="86" t="str">
        <f t="shared" si="42"/>
        <v>completeFull Name:Tam.500</v>
      </c>
      <c r="D1127" s="339"/>
      <c r="F1127" s="340"/>
    </row>
    <row r="1128" hidden="1">
      <c r="B1128" s="339"/>
      <c r="C1128" s="86" t="str">
        <f t="shared" si="42"/>
        <v>completePosition:Tam.500</v>
      </c>
      <c r="D1128" s="339"/>
      <c r="F1128" s="340"/>
    </row>
    <row r="1129" hidden="1">
      <c r="B1129" s="339"/>
      <c r="C1129" s="86" t="str">
        <f t="shared" si="42"/>
        <v>completeBirth:Tam.500</v>
      </c>
      <c r="D1129" s="339"/>
      <c r="F1129" s="340"/>
    </row>
    <row r="1130" hidden="1">
      <c r="B1130" s="339"/>
      <c r="C1130" s="86" t="str">
        <f t="shared" si="42"/>
        <v>completeExperience:Tam.500</v>
      </c>
      <c r="D1130" s="339"/>
      <c r="F1130" s="340"/>
    </row>
    <row r="1131" hidden="1">
      <c r="B1131" s="339"/>
      <c r="C1131" s="86" t="str">
        <f t="shared" si="42"/>
        <v>completeQuote:Tam.500</v>
      </c>
      <c r="D1131" s="339"/>
      <c r="F1131" s="340"/>
    </row>
    <row r="1132" hidden="1">
      <c r="B1132" s="339"/>
      <c r="C1132" s="86" t="str">
        <f t="shared" si="42"/>
        <v>complete</v>
      </c>
      <c r="D1132" s="339"/>
      <c r="F1132" s="340"/>
    </row>
    <row r="1133" hidden="1">
      <c r="B1133" s="339"/>
      <c r="C1133" s="86" t="str">
        <f t="shared" si="42"/>
        <v>complete</v>
      </c>
      <c r="D1133" s="339"/>
      <c r="F1133" s="340"/>
    </row>
    <row r="1134" hidden="1">
      <c r="B1134" s="339"/>
      <c r="C1134" s="86" t="str">
        <f t="shared" si="42"/>
        <v>complete❤️️Tam.500</v>
      </c>
      <c r="D1134" s="339"/>
      <c r="F1134" s="340"/>
    </row>
    <row r="1135" hidden="1">
      <c r="B1135" s="339"/>
      <c r="C1135" s="86" t="str">
        <f t="shared" si="42"/>
        <v>complete</v>
      </c>
      <c r="D1135" s="339"/>
      <c r="F1135" s="340"/>
    </row>
    <row r="1136" hidden="1">
      <c r="B1136" s="339"/>
      <c r="C1136" s="86" t="str">
        <f t="shared" si="42"/>
        <v>complete</v>
      </c>
      <c r="D1136" s="339"/>
      <c r="F1136" s="340"/>
    </row>
    <row r="1137" hidden="1">
      <c r="B1137" s="339"/>
      <c r="C1137" s="86" t="str">
        <f t="shared" si="42"/>
        <v>completeTam.5001</v>
      </c>
      <c r="D1137" s="339"/>
      <c r="F1137" s="340"/>
    </row>
    <row r="1138" hidden="1">
      <c r="B1138" s="339"/>
      <c r="C1138" s="86" t="str">
        <f t="shared" si="42"/>
        <v>completeTam.5002</v>
      </c>
      <c r="D1138" s="339"/>
      <c r="F1138" s="340"/>
    </row>
    <row r="1139" hidden="1">
      <c r="B1139" s="339"/>
      <c r="C1139" s="86" t="str">
        <f t="shared" si="42"/>
        <v>completeTam.5003</v>
      </c>
      <c r="D1139" s="339"/>
      <c r="F1139" s="340"/>
    </row>
    <row r="1140" hidden="1">
      <c r="B1140" s="339"/>
      <c r="C1140" s="86" t="str">
        <f t="shared" si="42"/>
        <v>completeTam.5004</v>
      </c>
      <c r="D1140" s="339"/>
      <c r="F1140" s="340"/>
    </row>
    <row r="1141" hidden="1">
      <c r="B1141" s="339"/>
      <c r="C1141" s="86" t="str">
        <f t="shared" si="42"/>
        <v>completeTam.5005</v>
      </c>
      <c r="D1141" s="339"/>
      <c r="F1141" s="340"/>
    </row>
    <row r="1142" hidden="1">
      <c r="B1142" s="339"/>
      <c r="C1142" s="86" t="str">
        <f t="shared" si="42"/>
        <v>completeTam.5006</v>
      </c>
      <c r="D1142" s="339"/>
      <c r="F1142" s="340"/>
    </row>
    <row r="1143" hidden="1">
      <c r="B1143" s="339"/>
      <c r="C1143" s="86" t="str">
        <f t="shared" si="42"/>
        <v>completeTam.5007</v>
      </c>
      <c r="D1143" s="339"/>
      <c r="F1143" s="340"/>
    </row>
    <row r="1144" hidden="1">
      <c r="B1144" s="339"/>
      <c r="C1144" s="86" t="str">
        <f t="shared" si="42"/>
        <v>completeTam.5008</v>
      </c>
      <c r="D1144" s="339"/>
      <c r="F1144" s="340"/>
    </row>
    <row r="1145" hidden="1">
      <c r="B1145" s="339"/>
      <c r="C1145" s="86" t="str">
        <f t="shared" si="42"/>
        <v>completeTam.5009</v>
      </c>
      <c r="D1145" s="339"/>
      <c r="F1145" s="340"/>
    </row>
    <row r="1146" hidden="1">
      <c r="B1146" s="339"/>
      <c r="C1146" s="86" t="str">
        <f t="shared" si="42"/>
        <v>completeTam.50010</v>
      </c>
      <c r="D1146" s="339"/>
      <c r="F1146" s="340"/>
    </row>
    <row r="1147" hidden="1">
      <c r="B1147" s="339"/>
      <c r="C1147" s="86" t="str">
        <f t="shared" si="42"/>
        <v>completeTam.50011</v>
      </c>
      <c r="D1147" s="339"/>
      <c r="F1147" s="340"/>
    </row>
    <row r="1148" hidden="1">
      <c r="B1148" s="339"/>
      <c r="C1148" s="86" t="str">
        <f t="shared" si="42"/>
        <v>completeTam.50012</v>
      </c>
      <c r="D1148" s="339"/>
      <c r="F1148" s="340"/>
    </row>
    <row r="1149" hidden="1">
      <c r="B1149" s="339"/>
      <c r="C1149" s="86" t="str">
        <f t="shared" si="42"/>
        <v>completeTam.50013</v>
      </c>
      <c r="D1149" s="339"/>
      <c r="F1149" s="340"/>
    </row>
    <row r="1150" hidden="1">
      <c r="B1150" s="339"/>
      <c r="C1150" s="86" t="str">
        <f t="shared" si="42"/>
        <v>completeTam.50014</v>
      </c>
      <c r="D1150" s="339"/>
      <c r="F1150" s="340"/>
    </row>
    <row r="1151" hidden="1">
      <c r="B1151" s="339"/>
      <c r="C1151" s="86" t="str">
        <f t="shared" si="42"/>
        <v>complete</v>
      </c>
      <c r="D1151" s="339"/>
      <c r="F1151" s="340"/>
    </row>
    <row r="1152" hidden="1">
      <c r="B1152" s="339"/>
      <c r="C1152" s="86" t="str">
        <f t="shared" si="42"/>
        <v>complete</v>
      </c>
      <c r="D1152" s="339"/>
      <c r="F1152" s="340"/>
    </row>
    <row r="1153" hidden="1">
      <c r="B1153" s="339"/>
      <c r="C1153" s="86" t="str">
        <f t="shared" si="42"/>
        <v>complete</v>
      </c>
      <c r="D1153" s="339"/>
      <c r="F1153" s="340"/>
    </row>
    <row r="1154" hidden="1">
      <c r="B1154" s="339"/>
      <c r="C1154" s="86" t="str">
        <f t="shared" si="42"/>
        <v>complete</v>
      </c>
      <c r="D1154" s="339"/>
      <c r="F1154" s="340"/>
    </row>
    <row r="1155" hidden="1">
      <c r="B1155" s="339"/>
      <c r="C1155" s="86" t="str">
        <f t="shared" si="42"/>
        <v>complete</v>
      </c>
      <c r="D1155" s="339"/>
      <c r="F1155" s="340"/>
    </row>
    <row r="1156" hidden="1">
      <c r="B1156" s="339"/>
      <c r="C1156" s="86" t="str">
        <f t="shared" si="42"/>
        <v>completeNick Name:Duong.600</v>
      </c>
      <c r="D1156" s="339"/>
      <c r="F1156" s="340"/>
    </row>
    <row r="1157" hidden="1">
      <c r="B1157" s="339"/>
      <c r="C1157" s="86" t="str">
        <f t="shared" si="42"/>
        <v>completeFull Name:Duong.600</v>
      </c>
      <c r="D1157" s="339"/>
      <c r="F1157" s="340"/>
    </row>
    <row r="1158" hidden="1">
      <c r="B1158" s="339"/>
      <c r="C1158" s="86" t="str">
        <f t="shared" si="42"/>
        <v>completePosition:Duong.600</v>
      </c>
      <c r="D1158" s="339"/>
      <c r="F1158" s="340"/>
    </row>
    <row r="1159" hidden="1">
      <c r="B1159" s="339"/>
      <c r="C1159" s="86" t="str">
        <f t="shared" si="42"/>
        <v>completeBirth:Duong.600</v>
      </c>
      <c r="D1159" s="339"/>
      <c r="F1159" s="340"/>
    </row>
    <row r="1160" hidden="1">
      <c r="B1160" s="339"/>
      <c r="C1160" s="86" t="str">
        <f t="shared" si="42"/>
        <v>completeExperience:Duong.600</v>
      </c>
      <c r="D1160" s="339"/>
      <c r="F1160" s="340"/>
    </row>
    <row r="1161" hidden="1">
      <c r="B1161" s="339"/>
      <c r="C1161" s="86" t="str">
        <f t="shared" si="42"/>
        <v>completeQuote:Duong.600</v>
      </c>
      <c r="D1161" s="339"/>
      <c r="F1161" s="340"/>
    </row>
    <row r="1162" hidden="1">
      <c r="B1162" s="339"/>
      <c r="C1162" s="86" t="str">
        <f t="shared" si="42"/>
        <v>complete</v>
      </c>
      <c r="D1162" s="339"/>
      <c r="F1162" s="340"/>
    </row>
    <row r="1163" hidden="1">
      <c r="B1163" s="339"/>
      <c r="C1163" s="86" t="str">
        <f t="shared" si="42"/>
        <v>complete</v>
      </c>
      <c r="D1163" s="339"/>
      <c r="F1163" s="340"/>
    </row>
    <row r="1164" hidden="1">
      <c r="B1164" s="339"/>
      <c r="C1164" s="86" t="str">
        <f t="shared" si="42"/>
        <v>complete❤️️Duong.600</v>
      </c>
      <c r="D1164" s="339"/>
      <c r="F1164" s="340"/>
    </row>
    <row r="1165" hidden="1">
      <c r="B1165" s="339"/>
      <c r="C1165" s="86" t="str">
        <f t="shared" si="42"/>
        <v>complete</v>
      </c>
      <c r="D1165" s="339"/>
      <c r="F1165" s="340"/>
    </row>
    <row r="1166" hidden="1">
      <c r="B1166" s="339"/>
      <c r="C1166" s="86" t="str">
        <f t="shared" si="42"/>
        <v>complete</v>
      </c>
      <c r="D1166" s="339"/>
      <c r="F1166" s="340"/>
    </row>
    <row r="1167" hidden="1">
      <c r="B1167" s="339"/>
      <c r="C1167" s="86" t="str">
        <f t="shared" si="42"/>
        <v>completeDuong.6001</v>
      </c>
      <c r="D1167" s="339"/>
      <c r="F1167" s="340"/>
    </row>
    <row r="1168" hidden="1">
      <c r="B1168" s="339"/>
      <c r="C1168" s="86" t="str">
        <f t="shared" si="42"/>
        <v>completeDuong.6002</v>
      </c>
      <c r="D1168" s="339"/>
      <c r="F1168" s="340"/>
    </row>
    <row r="1169" hidden="1">
      <c r="B1169" s="339"/>
      <c r="C1169" s="86" t="str">
        <f t="shared" si="42"/>
        <v>completeDuong.6003</v>
      </c>
      <c r="D1169" s="339"/>
      <c r="F1169" s="340"/>
    </row>
    <row r="1170" hidden="1">
      <c r="B1170" s="339"/>
      <c r="C1170" s="86" t="str">
        <f t="shared" si="42"/>
        <v>completeDuong.6004</v>
      </c>
      <c r="D1170" s="339"/>
      <c r="F1170" s="340"/>
    </row>
    <row r="1171" hidden="1">
      <c r="B1171" s="339"/>
      <c r="C1171" s="86" t="str">
        <f t="shared" si="42"/>
        <v>completeDuong.6005</v>
      </c>
      <c r="D1171" s="339"/>
      <c r="F1171" s="340"/>
    </row>
    <row r="1172" hidden="1">
      <c r="B1172" s="339"/>
      <c r="C1172" s="86" t="str">
        <f t="shared" si="42"/>
        <v>completeDuong.6006</v>
      </c>
      <c r="D1172" s="339"/>
      <c r="F1172" s="340"/>
    </row>
    <row r="1173" hidden="1">
      <c r="B1173" s="339"/>
      <c r="C1173" s="86" t="str">
        <f t="shared" si="42"/>
        <v>completeDuong.6007</v>
      </c>
      <c r="D1173" s="339"/>
      <c r="F1173" s="340"/>
    </row>
    <row r="1174" hidden="1">
      <c r="B1174" s="339"/>
      <c r="C1174" s="86" t="str">
        <f t="shared" si="42"/>
        <v>completeDuong.6008</v>
      </c>
      <c r="D1174" s="339"/>
      <c r="F1174" s="340"/>
    </row>
    <row r="1175" hidden="1">
      <c r="B1175" s="339"/>
      <c r="C1175" s="86" t="str">
        <f t="shared" si="42"/>
        <v>completeDuong.6009</v>
      </c>
      <c r="D1175" s="339"/>
      <c r="F1175" s="340"/>
    </row>
    <row r="1176" hidden="1">
      <c r="B1176" s="339"/>
      <c r="C1176" s="86" t="str">
        <f t="shared" si="42"/>
        <v>completeDuong.60010</v>
      </c>
      <c r="D1176" s="339"/>
      <c r="F1176" s="340"/>
    </row>
    <row r="1177" hidden="1">
      <c r="B1177" s="339"/>
      <c r="C1177" s="86" t="str">
        <f t="shared" si="42"/>
        <v>completeDuong.60011</v>
      </c>
      <c r="D1177" s="339"/>
      <c r="F1177" s="340"/>
    </row>
    <row r="1178" hidden="1">
      <c r="B1178" s="339"/>
      <c r="C1178" s="86" t="str">
        <f t="shared" si="42"/>
        <v>completeDuong.60012</v>
      </c>
      <c r="D1178" s="339"/>
      <c r="F1178" s="340"/>
    </row>
    <row r="1179" hidden="1">
      <c r="B1179" s="339"/>
      <c r="C1179" s="86" t="str">
        <f t="shared" si="42"/>
        <v>completeDuong.60013</v>
      </c>
      <c r="D1179" s="339"/>
      <c r="F1179" s="340"/>
    </row>
    <row r="1180" hidden="1">
      <c r="B1180" s="339"/>
      <c r="C1180" s="86" t="str">
        <f t="shared" si="42"/>
        <v>completeDuong.60014</v>
      </c>
      <c r="D1180" s="339"/>
      <c r="F1180" s="340"/>
    </row>
    <row r="1181" hidden="1">
      <c r="B1181" s="339"/>
      <c r="C1181" s="86" t="str">
        <f t="shared" si="42"/>
        <v>complete</v>
      </c>
      <c r="D1181" s="339"/>
      <c r="F1181" s="340"/>
    </row>
    <row r="1182" hidden="1">
      <c r="B1182" s="339"/>
      <c r="C1182" s="86" t="str">
        <f t="shared" si="42"/>
        <v>complete</v>
      </c>
      <c r="D1182" s="339"/>
      <c r="F1182" s="340"/>
    </row>
    <row r="1183" hidden="1">
      <c r="B1183" s="339"/>
      <c r="C1183" s="86" t="str">
        <f t="shared" si="42"/>
        <v>complete</v>
      </c>
      <c r="D1183" s="339"/>
      <c r="F1183" s="340"/>
    </row>
    <row r="1184" hidden="1">
      <c r="B1184" s="339"/>
      <c r="C1184" s="86" t="str">
        <f t="shared" si="42"/>
        <v>complete</v>
      </c>
      <c r="D1184" s="339"/>
      <c r="F1184" s="340"/>
    </row>
    <row r="1185" hidden="1">
      <c r="B1185" s="339"/>
      <c r="C1185" s="86" t="str">
        <f t="shared" si="42"/>
        <v>complete</v>
      </c>
      <c r="D1185" s="339"/>
      <c r="F1185" s="340"/>
    </row>
    <row r="1186" hidden="1">
      <c r="B1186" s="339"/>
      <c r="C1186" s="86" t="str">
        <f t="shared" si="42"/>
        <v>completeNick Name:Quyen.500</v>
      </c>
      <c r="D1186" s="339"/>
      <c r="F1186" s="340"/>
    </row>
    <row r="1187" hidden="1">
      <c r="B1187" s="339"/>
      <c r="C1187" s="86" t="str">
        <f t="shared" si="42"/>
        <v>completeFull Name:Quyen.500</v>
      </c>
      <c r="D1187" s="339"/>
      <c r="F1187" s="340"/>
    </row>
    <row r="1188" hidden="1">
      <c r="B1188" s="339"/>
      <c r="C1188" s="86" t="str">
        <f t="shared" si="42"/>
        <v>completePosition:Quyen.500</v>
      </c>
      <c r="D1188" s="339"/>
      <c r="F1188" s="340"/>
    </row>
    <row r="1189" hidden="1">
      <c r="B1189" s="339"/>
      <c r="C1189" s="86" t="str">
        <f t="shared" si="42"/>
        <v>completeBirth:Quyen.500</v>
      </c>
      <c r="D1189" s="339"/>
      <c r="F1189" s="340"/>
    </row>
    <row r="1190" hidden="1">
      <c r="B1190" s="339"/>
      <c r="C1190" s="86" t="str">
        <f t="shared" si="42"/>
        <v>completeExperience:Quyen.500</v>
      </c>
      <c r="D1190" s="339"/>
      <c r="F1190" s="340"/>
    </row>
    <row r="1191" hidden="1">
      <c r="B1191" s="339"/>
      <c r="C1191" s="86" t="str">
        <f t="shared" si="42"/>
        <v>completeQuote:Quyen.500</v>
      </c>
      <c r="D1191" s="339"/>
      <c r="F1191" s="340"/>
    </row>
    <row r="1192" hidden="1">
      <c r="B1192" s="339"/>
      <c r="C1192" s="86" t="str">
        <f t="shared" si="42"/>
        <v>complete</v>
      </c>
      <c r="D1192" s="339"/>
      <c r="F1192" s="340"/>
    </row>
    <row r="1193" hidden="1">
      <c r="B1193" s="339"/>
      <c r="C1193" s="86" t="str">
        <f t="shared" si="42"/>
        <v>complete</v>
      </c>
      <c r="D1193" s="339"/>
      <c r="F1193" s="340"/>
    </row>
    <row r="1194" hidden="1">
      <c r="B1194" s="339"/>
      <c r="C1194" s="86" t="str">
        <f t="shared" si="42"/>
        <v>complete❤️️Quyen.500</v>
      </c>
      <c r="D1194" s="339"/>
      <c r="F1194" s="340"/>
    </row>
    <row r="1195" hidden="1">
      <c r="B1195" s="339"/>
      <c r="C1195" s="86" t="str">
        <f t="shared" si="42"/>
        <v>complete</v>
      </c>
      <c r="D1195" s="339"/>
      <c r="F1195" s="340"/>
    </row>
    <row r="1196" hidden="1">
      <c r="B1196" s="339"/>
      <c r="C1196" s="86" t="str">
        <f t="shared" si="42"/>
        <v>complete</v>
      </c>
      <c r="D1196" s="339"/>
      <c r="F1196" s="340"/>
    </row>
    <row r="1197" hidden="1">
      <c r="B1197" s="339"/>
      <c r="C1197" s="86" t="str">
        <f t="shared" si="42"/>
        <v>completeQuyen.5001</v>
      </c>
      <c r="D1197" s="339"/>
      <c r="F1197" s="340"/>
    </row>
    <row r="1198" hidden="1">
      <c r="B1198" s="339"/>
      <c r="C1198" s="86" t="str">
        <f t="shared" si="42"/>
        <v>completeQuyen.5002</v>
      </c>
      <c r="D1198" s="339"/>
      <c r="F1198" s="340"/>
    </row>
    <row r="1199" hidden="1">
      <c r="B1199" s="339"/>
      <c r="C1199" s="86" t="str">
        <f t="shared" si="42"/>
        <v>completeQuyen.5003</v>
      </c>
      <c r="D1199" s="339"/>
      <c r="F1199" s="340"/>
    </row>
    <row r="1200" hidden="1">
      <c r="B1200" s="339"/>
      <c r="C1200" s="86" t="str">
        <f t="shared" si="42"/>
        <v>completeQuyen.5004</v>
      </c>
      <c r="D1200" s="339"/>
      <c r="F1200" s="340"/>
    </row>
    <row r="1201" hidden="1">
      <c r="B1201" s="339"/>
      <c r="C1201" s="86" t="str">
        <f t="shared" si="42"/>
        <v>completeQuyen.5005</v>
      </c>
      <c r="D1201" s="339"/>
      <c r="F1201" s="340"/>
    </row>
    <row r="1202" hidden="1">
      <c r="B1202" s="339"/>
      <c r="C1202" s="86" t="str">
        <f t="shared" si="42"/>
        <v>completeQuyen.5006</v>
      </c>
      <c r="D1202" s="339"/>
      <c r="F1202" s="340"/>
    </row>
    <row r="1203" hidden="1">
      <c r="B1203" s="339"/>
      <c r="C1203" s="86" t="str">
        <f t="shared" si="42"/>
        <v>completeQuyen.5007</v>
      </c>
      <c r="D1203" s="339"/>
      <c r="F1203" s="340"/>
    </row>
    <row r="1204" hidden="1">
      <c r="B1204" s="339"/>
      <c r="C1204" s="86" t="str">
        <f t="shared" si="42"/>
        <v>completeQuyen.5008</v>
      </c>
      <c r="D1204" s="339"/>
      <c r="F1204" s="340"/>
    </row>
    <row r="1205" hidden="1">
      <c r="B1205" s="339"/>
      <c r="C1205" s="86" t="str">
        <f t="shared" si="42"/>
        <v>completeQuyen.5009</v>
      </c>
      <c r="D1205" s="339"/>
      <c r="F1205" s="340"/>
    </row>
    <row r="1206" hidden="1">
      <c r="B1206" s="339"/>
      <c r="C1206" s="86" t="str">
        <f t="shared" si="42"/>
        <v>completeQuyen.50010</v>
      </c>
      <c r="D1206" s="339"/>
      <c r="F1206" s="340"/>
    </row>
    <row r="1207" hidden="1">
      <c r="B1207" s="339"/>
      <c r="C1207" s="86" t="str">
        <f t="shared" si="42"/>
        <v>completeQuyen.50011</v>
      </c>
      <c r="D1207" s="339"/>
      <c r="F1207" s="340"/>
    </row>
    <row r="1208" hidden="1">
      <c r="B1208" s="339"/>
      <c r="C1208" s="86" t="str">
        <f t="shared" si="42"/>
        <v>completeQuyen.50012</v>
      </c>
      <c r="D1208" s="339"/>
      <c r="F1208" s="340"/>
    </row>
    <row r="1209" hidden="1">
      <c r="B1209" s="339"/>
      <c r="C1209" s="86" t="str">
        <f t="shared" si="42"/>
        <v>completeQuyen.50013</v>
      </c>
      <c r="D1209" s="339"/>
      <c r="F1209" s="340"/>
    </row>
    <row r="1210" hidden="1">
      <c r="B1210" s="339"/>
      <c r="C1210" s="86" t="str">
        <f t="shared" si="42"/>
        <v>completeQuyen.50014</v>
      </c>
      <c r="D1210" s="339"/>
      <c r="F1210" s="340"/>
    </row>
    <row r="1211" hidden="1">
      <c r="B1211" s="339"/>
      <c r="C1211" s="86" t="str">
        <f t="shared" si="42"/>
        <v>complete</v>
      </c>
      <c r="D1211" s="339"/>
      <c r="F1211" s="340"/>
    </row>
    <row r="1212" hidden="1">
      <c r="B1212" s="339"/>
      <c r="C1212" s="86" t="str">
        <f t="shared" si="42"/>
        <v>complete</v>
      </c>
      <c r="D1212" s="339"/>
      <c r="F1212" s="340"/>
    </row>
    <row r="1213" hidden="1">
      <c r="B1213" s="339"/>
      <c r="C1213" s="86" t="str">
        <f t="shared" si="42"/>
        <v>complete</v>
      </c>
      <c r="D1213" s="339"/>
      <c r="F1213" s="340"/>
    </row>
    <row r="1214" hidden="1">
      <c r="B1214" s="339"/>
      <c r="C1214" s="86" t="str">
        <f t="shared" si="42"/>
        <v>complete</v>
      </c>
      <c r="D1214" s="339"/>
      <c r="F1214" s="340"/>
    </row>
    <row r="1215" hidden="1">
      <c r="B1215" s="339"/>
      <c r="C1215" s="86" t="str">
        <f t="shared" si="42"/>
        <v>complete</v>
      </c>
      <c r="D1215" s="339"/>
      <c r="F1215" s="340"/>
    </row>
    <row r="1216" hidden="1">
      <c r="B1216" s="339"/>
      <c r="C1216" s="86" t="str">
        <f t="shared" si="42"/>
        <v>completeNick Name:Lan Huong.600</v>
      </c>
      <c r="D1216" s="339"/>
      <c r="F1216" s="340"/>
    </row>
    <row r="1217" hidden="1">
      <c r="B1217" s="339"/>
      <c r="C1217" s="86" t="str">
        <f t="shared" si="42"/>
        <v>completeFull Name:Lan Huong.600</v>
      </c>
      <c r="D1217" s="339"/>
      <c r="F1217" s="340"/>
    </row>
    <row r="1218" hidden="1">
      <c r="B1218" s="339"/>
      <c r="C1218" s="86" t="str">
        <f t="shared" si="42"/>
        <v>completePosition:Lan Huong.600</v>
      </c>
      <c r="D1218" s="339"/>
      <c r="F1218" s="340"/>
    </row>
    <row r="1219" hidden="1">
      <c r="B1219" s="339"/>
      <c r="C1219" s="86" t="str">
        <f t="shared" si="42"/>
        <v>completeBirth:Lan Huong.600</v>
      </c>
      <c r="D1219" s="339"/>
      <c r="F1219" s="340"/>
    </row>
    <row r="1220" hidden="1">
      <c r="B1220" s="339"/>
      <c r="C1220" s="86" t="str">
        <f t="shared" si="42"/>
        <v>completeExperience:Lan Huong.600</v>
      </c>
      <c r="D1220" s="339"/>
      <c r="F1220" s="340"/>
    </row>
    <row r="1221" hidden="1">
      <c r="B1221" s="339"/>
      <c r="C1221" s="86" t="str">
        <f t="shared" si="42"/>
        <v>completeQuote:Lan Huong.600</v>
      </c>
      <c r="D1221" s="339"/>
      <c r="F1221" s="340"/>
    </row>
    <row r="1222" hidden="1">
      <c r="B1222" s="339"/>
      <c r="C1222" s="86" t="str">
        <f t="shared" si="42"/>
        <v>complete</v>
      </c>
      <c r="D1222" s="339"/>
      <c r="F1222" s="340"/>
    </row>
    <row r="1223" hidden="1">
      <c r="B1223" s="339"/>
      <c r="C1223" s="86" t="str">
        <f t="shared" si="42"/>
        <v>complete</v>
      </c>
      <c r="D1223" s="339"/>
      <c r="F1223" s="340"/>
    </row>
    <row r="1224" hidden="1">
      <c r="B1224" s="339"/>
      <c r="C1224" s="86" t="str">
        <f t="shared" si="42"/>
        <v>complete❤️️Lan Huong.600</v>
      </c>
      <c r="D1224" s="339"/>
      <c r="F1224" s="340"/>
    </row>
    <row r="1225" hidden="1">
      <c r="B1225" s="339"/>
      <c r="C1225" s="86" t="str">
        <f t="shared" si="42"/>
        <v>complete</v>
      </c>
      <c r="D1225" s="339"/>
      <c r="F1225" s="340"/>
    </row>
    <row r="1226" hidden="1">
      <c r="B1226" s="339"/>
      <c r="C1226" s="86" t="str">
        <f t="shared" si="42"/>
        <v>complete</v>
      </c>
      <c r="D1226" s="339"/>
      <c r="F1226" s="340"/>
    </row>
    <row r="1227" hidden="1">
      <c r="B1227" s="339"/>
      <c r="C1227" s="86" t="str">
        <f t="shared" si="42"/>
        <v>completeLan Huong.6001</v>
      </c>
      <c r="D1227" s="339"/>
      <c r="F1227" s="340"/>
    </row>
    <row r="1228" hidden="1">
      <c r="B1228" s="339"/>
      <c r="C1228" s="86" t="str">
        <f t="shared" si="42"/>
        <v>completeLan Huong.6002</v>
      </c>
      <c r="D1228" s="339"/>
      <c r="F1228" s="340"/>
    </row>
    <row r="1229" hidden="1">
      <c r="B1229" s="339"/>
      <c r="C1229" s="86" t="str">
        <f t="shared" si="42"/>
        <v>completeLan Huong.6003</v>
      </c>
      <c r="D1229" s="339"/>
      <c r="F1229" s="340"/>
    </row>
    <row r="1230" hidden="1">
      <c r="B1230" s="339"/>
      <c r="C1230" s="86" t="str">
        <f t="shared" si="42"/>
        <v>completeLan Huong.6004</v>
      </c>
      <c r="D1230" s="339"/>
      <c r="F1230" s="340"/>
    </row>
    <row r="1231" hidden="1">
      <c r="B1231" s="339"/>
      <c r="C1231" s="86" t="str">
        <f t="shared" si="42"/>
        <v>completeLan Huong.6005</v>
      </c>
      <c r="D1231" s="339"/>
      <c r="F1231" s="340"/>
    </row>
    <row r="1232" hidden="1">
      <c r="B1232" s="339"/>
      <c r="C1232" s="86" t="str">
        <f t="shared" si="42"/>
        <v>completeLan Huong.6006</v>
      </c>
      <c r="D1232" s="339"/>
      <c r="F1232" s="340"/>
    </row>
    <row r="1233" hidden="1">
      <c r="B1233" s="339"/>
      <c r="C1233" s="86" t="str">
        <f t="shared" si="42"/>
        <v>completeLan Huong.6007</v>
      </c>
      <c r="D1233" s="339"/>
      <c r="F1233" s="340"/>
    </row>
    <row r="1234" hidden="1">
      <c r="B1234" s="339"/>
      <c r="C1234" s="86" t="str">
        <f t="shared" si="42"/>
        <v>completeLan Huong.6008</v>
      </c>
      <c r="D1234" s="339"/>
      <c r="F1234" s="340"/>
    </row>
    <row r="1235" hidden="1">
      <c r="B1235" s="339"/>
      <c r="C1235" s="86" t="str">
        <f t="shared" si="42"/>
        <v>completeLan Huong.6009</v>
      </c>
      <c r="D1235" s="339"/>
      <c r="F1235" s="340"/>
    </row>
    <row r="1236" hidden="1">
      <c r="B1236" s="339"/>
      <c r="C1236" s="86" t="str">
        <f t="shared" si="42"/>
        <v>completeLan Huong.60010</v>
      </c>
      <c r="D1236" s="339"/>
      <c r="F1236" s="340"/>
    </row>
    <row r="1237" hidden="1">
      <c r="B1237" s="339"/>
      <c r="C1237" s="86" t="str">
        <f t="shared" si="42"/>
        <v>completeLan Huong.60011</v>
      </c>
      <c r="D1237" s="339"/>
      <c r="F1237" s="340"/>
    </row>
    <row r="1238" hidden="1">
      <c r="B1238" s="339"/>
      <c r="C1238" s="86" t="str">
        <f t="shared" si="42"/>
        <v>completeLan Huong.60012</v>
      </c>
      <c r="D1238" s="339"/>
      <c r="F1238" s="340"/>
    </row>
    <row r="1239" hidden="1">
      <c r="B1239" s="339"/>
      <c r="C1239" s="86" t="str">
        <f t="shared" si="42"/>
        <v>completeLan Huong.60013</v>
      </c>
      <c r="D1239" s="339"/>
      <c r="F1239" s="340"/>
    </row>
    <row r="1240" hidden="1">
      <c r="B1240" s="339"/>
      <c r="C1240" s="86" t="str">
        <f t="shared" si="42"/>
        <v>completeLan Huong.60014</v>
      </c>
      <c r="D1240" s="339"/>
      <c r="F1240" s="340"/>
    </row>
    <row r="1241" hidden="1">
      <c r="B1241" s="339"/>
      <c r="C1241" s="86" t="str">
        <f t="shared" si="42"/>
        <v>complete</v>
      </c>
      <c r="D1241" s="339"/>
      <c r="F1241" s="340"/>
    </row>
    <row r="1242" hidden="1">
      <c r="B1242" s="339"/>
      <c r="C1242" s="86" t="str">
        <f t="shared" si="42"/>
        <v>complete</v>
      </c>
      <c r="D1242" s="339"/>
      <c r="F1242" s="340"/>
    </row>
    <row r="1243" hidden="1">
      <c r="B1243" s="339"/>
      <c r="C1243" s="86" t="str">
        <f t="shared" si="42"/>
        <v>complete</v>
      </c>
      <c r="D1243" s="339"/>
      <c r="F1243" s="340"/>
    </row>
    <row r="1244" hidden="1">
      <c r="B1244" s="339"/>
      <c r="C1244" s="86" t="str">
        <f t="shared" si="42"/>
        <v>complete</v>
      </c>
      <c r="D1244" s="339"/>
      <c r="F1244" s="340"/>
    </row>
    <row r="1245" hidden="1">
      <c r="B1245" s="339"/>
      <c r="C1245" s="86" t="str">
        <f t="shared" si="42"/>
        <v>complete</v>
      </c>
      <c r="D1245" s="339"/>
      <c r="F1245" s="340"/>
    </row>
    <row r="1246" hidden="1">
      <c r="B1246" s="339"/>
      <c r="C1246" s="86" t="str">
        <f t="shared" si="42"/>
        <v>completeNick Name:Quan.600</v>
      </c>
      <c r="D1246" s="339"/>
      <c r="F1246" s="340"/>
    </row>
    <row r="1247" hidden="1">
      <c r="B1247" s="339"/>
      <c r="C1247" s="86" t="str">
        <f t="shared" si="42"/>
        <v>completeFull Name:Quan.600</v>
      </c>
      <c r="D1247" s="339"/>
      <c r="F1247" s="340"/>
    </row>
    <row r="1248" hidden="1">
      <c r="B1248" s="339"/>
      <c r="C1248" s="86" t="str">
        <f t="shared" si="42"/>
        <v>completePosition:Quan.600</v>
      </c>
      <c r="D1248" s="339"/>
      <c r="F1248" s="340"/>
    </row>
    <row r="1249" hidden="1">
      <c r="B1249" s="339"/>
      <c r="C1249" s="86" t="str">
        <f t="shared" si="42"/>
        <v>completeBirth:Quan.600</v>
      </c>
      <c r="D1249" s="339"/>
      <c r="F1249" s="340"/>
    </row>
    <row r="1250" hidden="1">
      <c r="B1250" s="339"/>
      <c r="C1250" s="86" t="str">
        <f t="shared" si="42"/>
        <v>completeExperience:Quan.600</v>
      </c>
      <c r="D1250" s="339"/>
      <c r="F1250" s="340"/>
    </row>
    <row r="1251" hidden="1">
      <c r="B1251" s="339"/>
      <c r="C1251" s="86" t="str">
        <f t="shared" si="42"/>
        <v>completeQuote:Quan.600</v>
      </c>
      <c r="D1251" s="339"/>
      <c r="F1251" s="340"/>
    </row>
    <row r="1252" hidden="1">
      <c r="B1252" s="339"/>
      <c r="C1252" s="86" t="str">
        <f t="shared" si="42"/>
        <v>complete</v>
      </c>
      <c r="D1252" s="339"/>
      <c r="F1252" s="340"/>
    </row>
    <row r="1253" hidden="1">
      <c r="B1253" s="339"/>
      <c r="C1253" s="86" t="str">
        <f t="shared" si="42"/>
        <v>complete</v>
      </c>
      <c r="D1253" s="339"/>
      <c r="F1253" s="340"/>
    </row>
    <row r="1254" hidden="1">
      <c r="B1254" s="339"/>
      <c r="C1254" s="86" t="str">
        <f t="shared" si="42"/>
        <v>complete❤️️Quan.600</v>
      </c>
      <c r="D1254" s="339"/>
      <c r="F1254" s="340"/>
    </row>
    <row r="1255" hidden="1">
      <c r="B1255" s="339"/>
      <c r="C1255" s="86" t="str">
        <f t="shared" si="42"/>
        <v>complete</v>
      </c>
      <c r="D1255" s="339"/>
      <c r="F1255" s="340"/>
    </row>
    <row r="1256" hidden="1">
      <c r="B1256" s="339"/>
      <c r="C1256" s="86" t="str">
        <f t="shared" si="42"/>
        <v>complete</v>
      </c>
      <c r="D1256" s="339"/>
      <c r="F1256" s="340"/>
    </row>
    <row r="1257" hidden="1">
      <c r="B1257" s="339"/>
      <c r="C1257" s="86" t="str">
        <f t="shared" si="42"/>
        <v>completeQuan.6001</v>
      </c>
      <c r="D1257" s="339"/>
      <c r="F1257" s="340"/>
    </row>
    <row r="1258" hidden="1">
      <c r="B1258" s="339"/>
      <c r="C1258" s="86" t="str">
        <f t="shared" si="42"/>
        <v>completeQuan.6002</v>
      </c>
      <c r="D1258" s="339"/>
      <c r="F1258" s="340"/>
    </row>
    <row r="1259" hidden="1">
      <c r="B1259" s="339"/>
      <c r="C1259" s="86" t="str">
        <f t="shared" si="42"/>
        <v>completeQuan.6003</v>
      </c>
      <c r="D1259" s="339"/>
      <c r="F1259" s="340"/>
    </row>
    <row r="1260" hidden="1">
      <c r="B1260" s="339"/>
      <c r="C1260" s="86" t="str">
        <f t="shared" si="42"/>
        <v>completeQuan.6004</v>
      </c>
      <c r="D1260" s="339"/>
      <c r="F1260" s="340"/>
    </row>
    <row r="1261" hidden="1">
      <c r="B1261" s="339"/>
      <c r="C1261" s="86" t="str">
        <f t="shared" si="42"/>
        <v>completeQuan.6005</v>
      </c>
      <c r="D1261" s="339"/>
      <c r="F1261" s="340"/>
    </row>
    <row r="1262" hidden="1">
      <c r="B1262" s="339"/>
      <c r="C1262" s="86" t="str">
        <f t="shared" si="42"/>
        <v>completeQuan.6006</v>
      </c>
      <c r="D1262" s="339"/>
      <c r="F1262" s="340"/>
    </row>
    <row r="1263" hidden="1">
      <c r="B1263" s="339"/>
      <c r="C1263" s="86" t="str">
        <f t="shared" si="42"/>
        <v>completeQuan.6007</v>
      </c>
      <c r="D1263" s="339"/>
      <c r="F1263" s="340"/>
    </row>
    <row r="1264" hidden="1">
      <c r="B1264" s="339"/>
      <c r="C1264" s="86" t="str">
        <f t="shared" si="42"/>
        <v>completeQuan.6008</v>
      </c>
      <c r="D1264" s="339"/>
      <c r="F1264" s="340"/>
    </row>
    <row r="1265" hidden="1">
      <c r="B1265" s="339"/>
      <c r="C1265" s="86" t="str">
        <f t="shared" si="42"/>
        <v>completeQuan.6009</v>
      </c>
      <c r="D1265" s="339"/>
      <c r="F1265" s="340"/>
    </row>
    <row r="1266" hidden="1">
      <c r="B1266" s="339"/>
      <c r="C1266" s="86" t="str">
        <f t="shared" si="42"/>
        <v>completeQuan.60010</v>
      </c>
      <c r="D1266" s="339"/>
      <c r="F1266" s="340"/>
    </row>
    <row r="1267" hidden="1">
      <c r="B1267" s="339"/>
      <c r="C1267" s="86" t="str">
        <f t="shared" si="42"/>
        <v>completeQuan.60011</v>
      </c>
      <c r="D1267" s="339"/>
      <c r="F1267" s="340"/>
    </row>
    <row r="1268" hidden="1">
      <c r="B1268" s="339"/>
      <c r="C1268" s="86" t="str">
        <f t="shared" si="42"/>
        <v>completeQuan.60012</v>
      </c>
      <c r="D1268" s="339"/>
      <c r="F1268" s="340"/>
    </row>
    <row r="1269" hidden="1">
      <c r="B1269" s="339"/>
      <c r="C1269" s="86" t="str">
        <f t="shared" si="42"/>
        <v>completeQuan.60013</v>
      </c>
      <c r="D1269" s="339"/>
      <c r="F1269" s="340"/>
    </row>
    <row r="1270" hidden="1">
      <c r="B1270" s="339"/>
      <c r="C1270" s="86" t="str">
        <f t="shared" si="42"/>
        <v>completeQuan.60014</v>
      </c>
      <c r="D1270" s="339"/>
      <c r="F1270" s="340"/>
    </row>
    <row r="1271" hidden="1">
      <c r="B1271" s="339"/>
      <c r="C1271" s="86" t="str">
        <f t="shared" si="42"/>
        <v>complete</v>
      </c>
      <c r="D1271" s="339"/>
      <c r="F1271" s="340"/>
    </row>
    <row r="1272" hidden="1">
      <c r="B1272" s="339"/>
      <c r="C1272" s="86" t="str">
        <f t="shared" si="42"/>
        <v>complete</v>
      </c>
      <c r="D1272" s="339"/>
      <c r="F1272" s="340"/>
    </row>
    <row r="1273" hidden="1">
      <c r="B1273" s="339"/>
      <c r="C1273" s="86" t="str">
        <f t="shared" si="42"/>
        <v>complete</v>
      </c>
      <c r="D1273" s="339"/>
      <c r="F1273" s="340"/>
    </row>
    <row r="1274" hidden="1">
      <c r="B1274" s="339"/>
      <c r="C1274" s="86" t="str">
        <f t="shared" si="42"/>
        <v>complete</v>
      </c>
      <c r="D1274" s="339"/>
      <c r="F1274" s="340"/>
    </row>
    <row r="1275" hidden="1">
      <c r="B1275" s="339"/>
      <c r="C1275" s="86" t="str">
        <f t="shared" si="42"/>
        <v>complete</v>
      </c>
      <c r="D1275" s="339"/>
      <c r="F1275" s="340"/>
    </row>
    <row r="1276" hidden="1">
      <c r="B1276" s="339"/>
      <c r="C1276" s="86" t="str">
        <f t="shared" si="42"/>
        <v>completeNick Name:Lam.600</v>
      </c>
      <c r="D1276" s="339"/>
      <c r="F1276" s="340"/>
    </row>
    <row r="1277" hidden="1">
      <c r="B1277" s="339"/>
      <c r="C1277" s="86" t="str">
        <f t="shared" si="42"/>
        <v>completeFull Name:Lam.600</v>
      </c>
      <c r="D1277" s="339"/>
      <c r="F1277" s="340"/>
    </row>
    <row r="1278" hidden="1">
      <c r="B1278" s="339"/>
      <c r="C1278" s="86" t="str">
        <f t="shared" si="42"/>
        <v>completePosition:Lam.600</v>
      </c>
      <c r="D1278" s="339"/>
      <c r="F1278" s="340"/>
    </row>
    <row r="1279" hidden="1">
      <c r="B1279" s="339"/>
      <c r="C1279" s="86" t="str">
        <f t="shared" si="42"/>
        <v>completeBirth:Lam.600</v>
      </c>
      <c r="D1279" s="339"/>
      <c r="F1279" s="340"/>
    </row>
    <row r="1280" hidden="1">
      <c r="B1280" s="339"/>
      <c r="C1280" s="86" t="str">
        <f t="shared" si="42"/>
        <v>completeExperience:Lam.600</v>
      </c>
      <c r="D1280" s="339"/>
      <c r="F1280" s="340"/>
    </row>
    <row r="1281" hidden="1">
      <c r="B1281" s="339"/>
      <c r="C1281" s="86" t="str">
        <f t="shared" si="42"/>
        <v>completeQuote:Lam.600</v>
      </c>
      <c r="D1281" s="339"/>
      <c r="F1281" s="340"/>
    </row>
    <row r="1282" hidden="1">
      <c r="B1282" s="339"/>
      <c r="C1282" s="86" t="str">
        <f t="shared" si="42"/>
        <v>complete</v>
      </c>
      <c r="D1282" s="339"/>
      <c r="F1282" s="340"/>
    </row>
    <row r="1283" hidden="1">
      <c r="B1283" s="339"/>
      <c r="C1283" s="86" t="str">
        <f t="shared" si="42"/>
        <v>complete</v>
      </c>
      <c r="D1283" s="339"/>
      <c r="F1283" s="340"/>
    </row>
    <row r="1284" hidden="1">
      <c r="B1284" s="339"/>
      <c r="C1284" s="86" t="str">
        <f t="shared" si="42"/>
        <v>complete❤️️Lam.600</v>
      </c>
      <c r="D1284" s="339"/>
      <c r="F1284" s="340"/>
    </row>
    <row r="1285" hidden="1">
      <c r="B1285" s="339"/>
      <c r="C1285" s="86" t="str">
        <f t="shared" si="42"/>
        <v>complete</v>
      </c>
      <c r="D1285" s="339"/>
      <c r="F1285" s="340"/>
    </row>
    <row r="1286" hidden="1">
      <c r="B1286" s="339"/>
      <c r="C1286" s="86" t="str">
        <f t="shared" si="42"/>
        <v>complete</v>
      </c>
      <c r="D1286" s="339"/>
      <c r="F1286" s="340"/>
    </row>
    <row r="1287" hidden="1">
      <c r="B1287" s="339"/>
      <c r="C1287" s="86" t="str">
        <f t="shared" si="42"/>
        <v>completeLam.6001</v>
      </c>
      <c r="D1287" s="339"/>
      <c r="F1287" s="340"/>
    </row>
    <row r="1288" hidden="1">
      <c r="B1288" s="339"/>
      <c r="C1288" s="86" t="str">
        <f t="shared" si="42"/>
        <v>completeLam.6002</v>
      </c>
      <c r="D1288" s="339"/>
      <c r="F1288" s="340"/>
    </row>
    <row r="1289" hidden="1">
      <c r="B1289" s="339"/>
      <c r="C1289" s="86" t="str">
        <f t="shared" si="42"/>
        <v>completeLam.6003</v>
      </c>
      <c r="D1289" s="339"/>
      <c r="F1289" s="340"/>
    </row>
    <row r="1290" hidden="1">
      <c r="B1290" s="339"/>
      <c r="C1290" s="86" t="str">
        <f t="shared" si="42"/>
        <v>completeLam.6004</v>
      </c>
      <c r="D1290" s="339"/>
      <c r="F1290" s="340"/>
    </row>
    <row r="1291" hidden="1">
      <c r="B1291" s="339"/>
      <c r="C1291" s="86" t="str">
        <f t="shared" si="42"/>
        <v>completeLam.6005</v>
      </c>
      <c r="D1291" s="339"/>
      <c r="F1291" s="340"/>
    </row>
    <row r="1292" hidden="1">
      <c r="B1292" s="339"/>
      <c r="C1292" s="86" t="str">
        <f t="shared" si="42"/>
        <v>completeLam.6006</v>
      </c>
      <c r="D1292" s="339"/>
      <c r="F1292" s="340"/>
    </row>
    <row r="1293" hidden="1">
      <c r="B1293" s="339"/>
      <c r="C1293" s="86" t="str">
        <f t="shared" si="42"/>
        <v>completeLam.6007</v>
      </c>
      <c r="D1293" s="339"/>
      <c r="F1293" s="340"/>
    </row>
    <row r="1294" hidden="1">
      <c r="B1294" s="339"/>
      <c r="C1294" s="86" t="str">
        <f t="shared" si="42"/>
        <v>completeLam.6008</v>
      </c>
      <c r="D1294" s="339"/>
      <c r="F1294" s="340"/>
    </row>
    <row r="1295" hidden="1">
      <c r="B1295" s="339"/>
      <c r="C1295" s="86" t="str">
        <f t="shared" si="42"/>
        <v>completeLam.6009</v>
      </c>
      <c r="D1295" s="339"/>
      <c r="F1295" s="340"/>
    </row>
    <row r="1296" hidden="1">
      <c r="B1296" s="339"/>
      <c r="C1296" s="86" t="str">
        <f t="shared" si="42"/>
        <v>completeLam.60010</v>
      </c>
      <c r="D1296" s="339"/>
      <c r="F1296" s="340"/>
    </row>
    <row r="1297" hidden="1">
      <c r="B1297" s="339"/>
      <c r="C1297" s="86" t="str">
        <f t="shared" si="42"/>
        <v>completeLam.60011</v>
      </c>
      <c r="D1297" s="339"/>
      <c r="F1297" s="340"/>
    </row>
    <row r="1298" hidden="1">
      <c r="B1298" s="339"/>
      <c r="C1298" s="86" t="str">
        <f t="shared" si="42"/>
        <v>completeLam.60012</v>
      </c>
      <c r="D1298" s="339"/>
      <c r="F1298" s="340"/>
    </row>
    <row r="1299" hidden="1">
      <c r="B1299" s="339"/>
      <c r="C1299" s="86" t="str">
        <f t="shared" si="42"/>
        <v>completeLam.60013</v>
      </c>
      <c r="D1299" s="339"/>
      <c r="F1299" s="340"/>
    </row>
    <row r="1300" hidden="1">
      <c r="B1300" s="339"/>
      <c r="C1300" s="86" t="str">
        <f t="shared" si="42"/>
        <v>completeLam.60014</v>
      </c>
      <c r="D1300" s="339"/>
      <c r="F1300" s="340"/>
    </row>
    <row r="1301" hidden="1">
      <c r="B1301" s="339"/>
      <c r="C1301" s="86" t="str">
        <f t="shared" si="42"/>
        <v>complete</v>
      </c>
      <c r="D1301" s="339"/>
      <c r="F1301" s="340"/>
    </row>
    <row r="1302" hidden="1">
      <c r="B1302" s="339"/>
      <c r="C1302" s="86" t="str">
        <f t="shared" si="42"/>
        <v>complete</v>
      </c>
      <c r="D1302" s="339"/>
      <c r="F1302" s="340"/>
    </row>
    <row r="1303" hidden="1">
      <c r="B1303" s="339"/>
      <c r="C1303" s="86" t="str">
        <f t="shared" si="42"/>
        <v>complete</v>
      </c>
      <c r="D1303" s="339"/>
      <c r="F1303" s="340"/>
    </row>
    <row r="1304" hidden="1">
      <c r="B1304" s="339"/>
      <c r="C1304" s="86" t="str">
        <f t="shared" si="42"/>
        <v>complete</v>
      </c>
      <c r="D1304" s="339"/>
      <c r="F1304" s="340"/>
    </row>
    <row r="1305" hidden="1">
      <c r="B1305" s="339"/>
      <c r="C1305" s="86" t="str">
        <f t="shared" si="42"/>
        <v>complete</v>
      </c>
      <c r="D1305" s="339"/>
      <c r="F1305" s="340"/>
    </row>
    <row r="1306" hidden="1">
      <c r="B1306" s="339"/>
      <c r="C1306" s="86" t="str">
        <f t="shared" si="42"/>
        <v>completeNick Name:Giang.600</v>
      </c>
      <c r="D1306" s="339"/>
      <c r="F1306" s="340"/>
    </row>
    <row r="1307" hidden="1">
      <c r="B1307" s="339"/>
      <c r="C1307" s="86" t="str">
        <f t="shared" si="42"/>
        <v>completeFull Name:Giang.600</v>
      </c>
      <c r="D1307" s="339"/>
      <c r="F1307" s="340"/>
    </row>
    <row r="1308" hidden="1">
      <c r="B1308" s="339"/>
      <c r="C1308" s="86" t="str">
        <f t="shared" si="42"/>
        <v>completePosition:Giang.600</v>
      </c>
      <c r="D1308" s="339"/>
      <c r="F1308" s="340"/>
    </row>
    <row r="1309" hidden="1">
      <c r="B1309" s="339"/>
      <c r="C1309" s="86" t="str">
        <f t="shared" si="42"/>
        <v>completeBirth:Giang.600</v>
      </c>
      <c r="D1309" s="339"/>
      <c r="F1309" s="340"/>
    </row>
    <row r="1310" hidden="1">
      <c r="B1310" s="339"/>
      <c r="C1310" s="86" t="str">
        <f t="shared" si="42"/>
        <v>completeExperience:Giang.600</v>
      </c>
      <c r="D1310" s="339"/>
      <c r="F1310" s="340"/>
    </row>
    <row r="1311" hidden="1">
      <c r="B1311" s="339"/>
      <c r="C1311" s="86" t="str">
        <f t="shared" si="42"/>
        <v>completeQuote:Giang.600</v>
      </c>
      <c r="D1311" s="339"/>
      <c r="F1311" s="340"/>
    </row>
    <row r="1312" hidden="1">
      <c r="B1312" s="339"/>
      <c r="C1312" s="86" t="str">
        <f t="shared" si="42"/>
        <v>complete</v>
      </c>
      <c r="D1312" s="339"/>
      <c r="F1312" s="340"/>
    </row>
    <row r="1313" hidden="1">
      <c r="B1313" s="339"/>
      <c r="C1313" s="86" t="str">
        <f t="shared" si="42"/>
        <v>complete</v>
      </c>
      <c r="D1313" s="339"/>
      <c r="F1313" s="340"/>
    </row>
    <row r="1314" hidden="1">
      <c r="B1314" s="339"/>
      <c r="C1314" s="86" t="str">
        <f t="shared" si="42"/>
        <v>complete❤️️Giang.600</v>
      </c>
      <c r="D1314" s="339"/>
      <c r="F1314" s="340"/>
    </row>
    <row r="1315" hidden="1">
      <c r="B1315" s="339"/>
      <c r="C1315" s="86" t="str">
        <f t="shared" si="42"/>
        <v>complete</v>
      </c>
      <c r="D1315" s="339"/>
      <c r="F1315" s="340"/>
    </row>
    <row r="1316" hidden="1">
      <c r="B1316" s="339"/>
      <c r="C1316" s="86" t="str">
        <f t="shared" si="42"/>
        <v>complete</v>
      </c>
      <c r="D1316" s="339"/>
      <c r="F1316" s="340"/>
    </row>
    <row r="1317" hidden="1">
      <c r="B1317" s="339"/>
      <c r="C1317" s="86" t="str">
        <f t="shared" si="42"/>
        <v>completeGiang.6001</v>
      </c>
      <c r="D1317" s="339"/>
      <c r="F1317" s="340"/>
    </row>
    <row r="1318" hidden="1">
      <c r="B1318" s="339"/>
      <c r="C1318" s="86" t="str">
        <f t="shared" si="42"/>
        <v>completeGiang.6002</v>
      </c>
      <c r="D1318" s="339"/>
      <c r="F1318" s="340"/>
    </row>
    <row r="1319" hidden="1">
      <c r="B1319" s="339"/>
      <c r="C1319" s="86" t="str">
        <f t="shared" si="42"/>
        <v>completeGiang.6003</v>
      </c>
      <c r="D1319" s="339"/>
      <c r="F1319" s="340"/>
    </row>
    <row r="1320" hidden="1">
      <c r="B1320" s="339"/>
      <c r="C1320" s="86" t="str">
        <f t="shared" si="42"/>
        <v>completeGiang.6004</v>
      </c>
      <c r="D1320" s="339"/>
      <c r="F1320" s="340"/>
    </row>
    <row r="1321" hidden="1">
      <c r="B1321" s="339"/>
      <c r="C1321" s="86" t="str">
        <f t="shared" si="42"/>
        <v>completeGiang.6005</v>
      </c>
      <c r="D1321" s="339"/>
      <c r="F1321" s="340"/>
    </row>
    <row r="1322" hidden="1">
      <c r="B1322" s="339"/>
      <c r="C1322" s="86" t="str">
        <f t="shared" si="42"/>
        <v>completeGiang.6006</v>
      </c>
      <c r="D1322" s="339"/>
      <c r="F1322" s="340"/>
    </row>
    <row r="1323" hidden="1">
      <c r="B1323" s="339"/>
      <c r="C1323" s="86" t="str">
        <f t="shared" si="42"/>
        <v>completeGiang.6007</v>
      </c>
      <c r="D1323" s="339"/>
      <c r="F1323" s="340"/>
    </row>
    <row r="1324" hidden="1">
      <c r="B1324" s="339"/>
      <c r="C1324" s="86" t="str">
        <f t="shared" si="42"/>
        <v>completeGiang.6008</v>
      </c>
      <c r="D1324" s="339"/>
      <c r="F1324" s="340"/>
    </row>
    <row r="1325" hidden="1">
      <c r="B1325" s="339"/>
      <c r="C1325" s="86" t="str">
        <f t="shared" si="42"/>
        <v>completeGiang.6009</v>
      </c>
      <c r="D1325" s="339"/>
      <c r="F1325" s="340"/>
    </row>
    <row r="1326" hidden="1">
      <c r="B1326" s="339"/>
      <c r="C1326" s="86" t="str">
        <f t="shared" si="42"/>
        <v>completeGiang.60010</v>
      </c>
      <c r="D1326" s="339"/>
      <c r="F1326" s="340"/>
    </row>
    <row r="1327" hidden="1">
      <c r="B1327" s="339"/>
      <c r="C1327" s="86" t="str">
        <f t="shared" si="42"/>
        <v>completeGiang.60011</v>
      </c>
      <c r="D1327" s="339"/>
      <c r="F1327" s="340"/>
    </row>
    <row r="1328" hidden="1">
      <c r="B1328" s="339"/>
      <c r="C1328" s="86" t="str">
        <f t="shared" si="42"/>
        <v>completeGiang.60012</v>
      </c>
      <c r="D1328" s="339"/>
      <c r="F1328" s="340"/>
    </row>
    <row r="1329" hidden="1">
      <c r="B1329" s="339"/>
      <c r="C1329" s="86" t="str">
        <f t="shared" si="42"/>
        <v>completeGiang.60013</v>
      </c>
      <c r="D1329" s="339"/>
      <c r="F1329" s="340"/>
    </row>
    <row r="1330" hidden="1">
      <c r="B1330" s="339"/>
      <c r="C1330" s="86" t="str">
        <f t="shared" si="42"/>
        <v>completeGiang.60014</v>
      </c>
      <c r="D1330" s="339"/>
      <c r="F1330" s="340"/>
    </row>
    <row r="1331" hidden="1">
      <c r="B1331" s="339"/>
      <c r="C1331" s="86" t="str">
        <f t="shared" si="42"/>
        <v>complete</v>
      </c>
      <c r="D1331" s="339"/>
      <c r="F1331" s="340"/>
    </row>
    <row r="1332" hidden="1">
      <c r="B1332" s="339"/>
      <c r="C1332" s="86" t="str">
        <f t="shared" si="42"/>
        <v>complete</v>
      </c>
      <c r="D1332" s="339"/>
      <c r="F1332" s="340"/>
    </row>
    <row r="1333" hidden="1">
      <c r="B1333" s="339"/>
      <c r="C1333" s="86" t="str">
        <f t="shared" si="42"/>
        <v>complete</v>
      </c>
      <c r="D1333" s="339"/>
      <c r="F1333" s="340"/>
    </row>
    <row r="1334" hidden="1">
      <c r="B1334" s="339"/>
      <c r="C1334" s="86" t="str">
        <f t="shared" si="42"/>
        <v>complete</v>
      </c>
      <c r="D1334" s="339"/>
      <c r="F1334" s="340"/>
    </row>
    <row r="1335" hidden="1">
      <c r="B1335" s="339"/>
      <c r="C1335" s="86" t="str">
        <f t="shared" si="42"/>
        <v>complete</v>
      </c>
      <c r="D1335" s="339"/>
      <c r="F1335" s="340"/>
    </row>
    <row r="1336" hidden="1">
      <c r="B1336" s="339"/>
      <c r="C1336" s="86" t="str">
        <f t="shared" si="42"/>
        <v>completeNick Name:Trung.600</v>
      </c>
      <c r="D1336" s="339"/>
      <c r="F1336" s="340"/>
    </row>
    <row r="1337" hidden="1">
      <c r="B1337" s="339"/>
      <c r="C1337" s="86" t="str">
        <f t="shared" si="42"/>
        <v>completeFull Name:Trung.600</v>
      </c>
      <c r="D1337" s="339"/>
      <c r="F1337" s="340"/>
    </row>
    <row r="1338" hidden="1">
      <c r="B1338" s="339"/>
      <c r="C1338" s="86" t="str">
        <f t="shared" si="42"/>
        <v>completePosition:Trung.600</v>
      </c>
      <c r="D1338" s="339"/>
      <c r="F1338" s="340"/>
    </row>
    <row r="1339" hidden="1">
      <c r="B1339" s="339"/>
      <c r="C1339" s="86" t="str">
        <f t="shared" si="42"/>
        <v>completeBirth:Trung.600</v>
      </c>
      <c r="D1339" s="339"/>
      <c r="F1339" s="340"/>
    </row>
    <row r="1340" hidden="1">
      <c r="B1340" s="339"/>
      <c r="C1340" s="86" t="str">
        <f t="shared" si="42"/>
        <v>completeExperience:Trung.600</v>
      </c>
      <c r="D1340" s="339"/>
      <c r="F1340" s="340"/>
    </row>
    <row r="1341" hidden="1">
      <c r="B1341" s="339"/>
      <c r="C1341" s="86" t="str">
        <f t="shared" si="42"/>
        <v>completeQuote:Trung.600</v>
      </c>
      <c r="D1341" s="339"/>
      <c r="F1341" s="340"/>
    </row>
    <row r="1342" hidden="1">
      <c r="B1342" s="339"/>
      <c r="C1342" s="86" t="str">
        <f t="shared" si="42"/>
        <v>complete</v>
      </c>
      <c r="D1342" s="339"/>
      <c r="F1342" s="340"/>
    </row>
    <row r="1343" hidden="1">
      <c r="B1343" s="339"/>
      <c r="C1343" s="86" t="str">
        <f t="shared" si="42"/>
        <v>complete</v>
      </c>
      <c r="D1343" s="339"/>
      <c r="F1343" s="340"/>
    </row>
    <row r="1344" hidden="1">
      <c r="B1344" s="339"/>
      <c r="C1344" s="86" t="str">
        <f t="shared" si="42"/>
        <v>complete❤️️Trung.600</v>
      </c>
      <c r="D1344" s="339"/>
      <c r="F1344" s="340"/>
    </row>
    <row r="1345" hidden="1">
      <c r="B1345" s="339"/>
      <c r="C1345" s="86" t="str">
        <f t="shared" si="42"/>
        <v>complete</v>
      </c>
      <c r="D1345" s="339"/>
      <c r="F1345" s="340"/>
    </row>
    <row r="1346" hidden="1">
      <c r="B1346" s="339"/>
      <c r="C1346" s="86" t="str">
        <f t="shared" si="42"/>
        <v>complete</v>
      </c>
      <c r="D1346" s="339"/>
      <c r="F1346" s="340"/>
    </row>
    <row r="1347" hidden="1">
      <c r="B1347" s="339"/>
      <c r="C1347" s="86" t="str">
        <f t="shared" si="42"/>
        <v>completeTrung.6001</v>
      </c>
      <c r="D1347" s="339"/>
      <c r="F1347" s="340"/>
    </row>
    <row r="1348" hidden="1">
      <c r="B1348" s="339"/>
      <c r="C1348" s="86" t="str">
        <f t="shared" si="42"/>
        <v>completeTrung.6002</v>
      </c>
      <c r="D1348" s="339"/>
      <c r="F1348" s="340"/>
    </row>
    <row r="1349" hidden="1">
      <c r="B1349" s="339"/>
      <c r="C1349" s="86" t="str">
        <f t="shared" si="42"/>
        <v>completeTrung.6003</v>
      </c>
      <c r="D1349" s="339"/>
      <c r="F1349" s="340"/>
    </row>
    <row r="1350" hidden="1">
      <c r="B1350" s="339"/>
      <c r="C1350" s="86" t="str">
        <f t="shared" si="42"/>
        <v>completeTrung.6004</v>
      </c>
      <c r="D1350" s="339"/>
      <c r="F1350" s="340"/>
    </row>
    <row r="1351" hidden="1">
      <c r="B1351" s="339"/>
      <c r="C1351" s="86" t="str">
        <f t="shared" si="42"/>
        <v>completeTrung.6005</v>
      </c>
      <c r="D1351" s="339"/>
      <c r="F1351" s="340"/>
    </row>
    <row r="1352" hidden="1">
      <c r="B1352" s="339"/>
      <c r="C1352" s="86" t="str">
        <f t="shared" si="42"/>
        <v>completeTrung.6006</v>
      </c>
      <c r="D1352" s="339"/>
      <c r="F1352" s="340"/>
    </row>
    <row r="1353" hidden="1">
      <c r="B1353" s="339"/>
      <c r="C1353" s="86" t="str">
        <f t="shared" si="42"/>
        <v>completeTrung.6007</v>
      </c>
      <c r="D1353" s="339"/>
      <c r="F1353" s="340"/>
    </row>
    <row r="1354" hidden="1">
      <c r="B1354" s="339"/>
      <c r="C1354" s="86" t="str">
        <f t="shared" si="42"/>
        <v>completeTrung.6008</v>
      </c>
      <c r="D1354" s="339"/>
      <c r="F1354" s="340"/>
    </row>
    <row r="1355" hidden="1">
      <c r="B1355" s="339"/>
      <c r="C1355" s="86" t="str">
        <f t="shared" si="42"/>
        <v>completeTrung.6009</v>
      </c>
      <c r="D1355" s="339"/>
      <c r="F1355" s="340"/>
    </row>
    <row r="1356" hidden="1">
      <c r="B1356" s="339"/>
      <c r="C1356" s="86" t="str">
        <f t="shared" si="42"/>
        <v>completeTrung.60010</v>
      </c>
      <c r="D1356" s="339"/>
      <c r="F1356" s="340"/>
    </row>
    <row r="1357" hidden="1">
      <c r="B1357" s="339"/>
      <c r="C1357" s="86" t="str">
        <f t="shared" si="42"/>
        <v>completeTrung.60011</v>
      </c>
      <c r="D1357" s="339"/>
      <c r="F1357" s="340"/>
    </row>
    <row r="1358" hidden="1">
      <c r="B1358" s="339"/>
      <c r="C1358" s="86" t="str">
        <f t="shared" si="42"/>
        <v>completeTrung.60012</v>
      </c>
      <c r="D1358" s="339"/>
      <c r="F1358" s="340"/>
    </row>
    <row r="1359" hidden="1">
      <c r="B1359" s="339"/>
      <c r="C1359" s="86" t="str">
        <f t="shared" si="42"/>
        <v>completeTrung.60013</v>
      </c>
      <c r="D1359" s="339"/>
      <c r="F1359" s="340"/>
    </row>
    <row r="1360" hidden="1">
      <c r="B1360" s="339"/>
      <c r="C1360" s="86" t="str">
        <f t="shared" si="42"/>
        <v>completeTrung.60014</v>
      </c>
      <c r="D1360" s="339"/>
      <c r="F1360" s="340"/>
    </row>
    <row r="1361" hidden="1">
      <c r="B1361" s="339"/>
      <c r="C1361" s="86" t="str">
        <f t="shared" si="42"/>
        <v>complete</v>
      </c>
      <c r="D1361" s="339"/>
      <c r="F1361" s="340"/>
    </row>
    <row r="1362" hidden="1">
      <c r="B1362" s="339"/>
      <c r="C1362" s="86" t="str">
        <f t="shared" si="42"/>
        <v>complete</v>
      </c>
      <c r="D1362" s="339"/>
      <c r="F1362" s="340"/>
    </row>
    <row r="1363" hidden="1">
      <c r="B1363" s="339"/>
      <c r="C1363" s="86" t="str">
        <f t="shared" si="42"/>
        <v>complete</v>
      </c>
      <c r="D1363" s="339"/>
      <c r="F1363" s="340"/>
    </row>
    <row r="1364" hidden="1">
      <c r="B1364" s="339"/>
      <c r="C1364" s="86" t="str">
        <f t="shared" si="42"/>
        <v>complete</v>
      </c>
      <c r="D1364" s="339"/>
      <c r="F1364" s="340"/>
    </row>
    <row r="1365" hidden="1">
      <c r="B1365" s="339"/>
      <c r="C1365" s="86" t="str">
        <f t="shared" si="42"/>
        <v>complete</v>
      </c>
      <c r="D1365" s="339"/>
      <c r="F1365" s="340"/>
    </row>
    <row r="1366" hidden="1">
      <c r="B1366" s="339"/>
      <c r="C1366" s="86" t="str">
        <f t="shared" si="42"/>
        <v>completeNick Name:Huyen.600</v>
      </c>
      <c r="D1366" s="339"/>
      <c r="F1366" s="340"/>
    </row>
    <row r="1367" hidden="1">
      <c r="B1367" s="339"/>
      <c r="C1367" s="86" t="str">
        <f t="shared" si="42"/>
        <v>completeFull Name:Huyen.600</v>
      </c>
      <c r="D1367" s="339"/>
      <c r="F1367" s="340"/>
    </row>
    <row r="1368" hidden="1">
      <c r="B1368" s="339"/>
      <c r="C1368" s="86" t="str">
        <f t="shared" si="42"/>
        <v>completePosition:Huyen.600</v>
      </c>
      <c r="D1368" s="339"/>
      <c r="F1368" s="340"/>
    </row>
    <row r="1369" hidden="1">
      <c r="B1369" s="339"/>
      <c r="C1369" s="86" t="str">
        <f t="shared" si="42"/>
        <v>completeBirth:Huyen.600</v>
      </c>
      <c r="D1369" s="339"/>
      <c r="F1369" s="340"/>
    </row>
    <row r="1370" hidden="1">
      <c r="B1370" s="339"/>
      <c r="C1370" s="86" t="str">
        <f t="shared" si="42"/>
        <v>completeExperience:Huyen.600</v>
      </c>
      <c r="D1370" s="339"/>
      <c r="F1370" s="340"/>
    </row>
    <row r="1371" hidden="1">
      <c r="B1371" s="339"/>
      <c r="C1371" s="86" t="str">
        <f t="shared" si="42"/>
        <v>completeQuote:Huyen.600</v>
      </c>
      <c r="D1371" s="339"/>
      <c r="F1371" s="340"/>
    </row>
    <row r="1372" hidden="1">
      <c r="B1372" s="339"/>
      <c r="C1372" s="86" t="str">
        <f t="shared" si="42"/>
        <v>complete</v>
      </c>
      <c r="D1372" s="339"/>
      <c r="F1372" s="340"/>
    </row>
    <row r="1373" hidden="1">
      <c r="B1373" s="339"/>
      <c r="C1373" s="86" t="str">
        <f t="shared" si="42"/>
        <v>complete</v>
      </c>
      <c r="D1373" s="339"/>
      <c r="F1373" s="340"/>
    </row>
    <row r="1374" hidden="1">
      <c r="B1374" s="339"/>
      <c r="C1374" s="86" t="str">
        <f t="shared" si="42"/>
        <v>complete❤️️Huyen.600</v>
      </c>
      <c r="D1374" s="339"/>
      <c r="F1374" s="340"/>
    </row>
    <row r="1375" hidden="1">
      <c r="B1375" s="339"/>
      <c r="C1375" s="86" t="str">
        <f t="shared" si="42"/>
        <v>complete</v>
      </c>
      <c r="D1375" s="339"/>
      <c r="F1375" s="340"/>
    </row>
    <row r="1376" hidden="1">
      <c r="B1376" s="339"/>
      <c r="C1376" s="86" t="str">
        <f t="shared" si="42"/>
        <v>complete</v>
      </c>
      <c r="D1376" s="339"/>
      <c r="F1376" s="340"/>
    </row>
    <row r="1377" hidden="1">
      <c r="B1377" s="339"/>
      <c r="C1377" s="86" t="str">
        <f t="shared" si="42"/>
        <v>completeHuyen.6001</v>
      </c>
      <c r="D1377" s="339"/>
      <c r="F1377" s="340"/>
    </row>
    <row r="1378" hidden="1">
      <c r="B1378" s="339"/>
      <c r="C1378" s="86" t="str">
        <f t="shared" si="42"/>
        <v>completeHuyen.6002</v>
      </c>
      <c r="D1378" s="339"/>
      <c r="F1378" s="340"/>
    </row>
    <row r="1379" hidden="1">
      <c r="B1379" s="339"/>
      <c r="C1379" s="86" t="str">
        <f t="shared" si="42"/>
        <v>completeHuyen.6003</v>
      </c>
      <c r="D1379" s="339"/>
      <c r="F1379" s="340"/>
    </row>
    <row r="1380" hidden="1">
      <c r="B1380" s="339"/>
      <c r="C1380" s="86" t="str">
        <f t="shared" si="42"/>
        <v>completeHuyen.6004</v>
      </c>
      <c r="D1380" s="339"/>
      <c r="F1380" s="340"/>
    </row>
    <row r="1381" hidden="1">
      <c r="B1381" s="339"/>
      <c r="C1381" s="86" t="str">
        <f t="shared" si="42"/>
        <v>completeHuyen.6005</v>
      </c>
      <c r="D1381" s="339"/>
      <c r="F1381" s="340"/>
    </row>
    <row r="1382" hidden="1">
      <c r="B1382" s="339"/>
      <c r="C1382" s="86" t="str">
        <f t="shared" si="42"/>
        <v>completeHuyen.6006</v>
      </c>
      <c r="D1382" s="339"/>
      <c r="F1382" s="340"/>
    </row>
    <row r="1383" hidden="1">
      <c r="B1383" s="339"/>
      <c r="C1383" s="86" t="str">
        <f t="shared" si="42"/>
        <v>completeHuyen.6007</v>
      </c>
      <c r="D1383" s="339"/>
      <c r="F1383" s="340"/>
    </row>
    <row r="1384" hidden="1">
      <c r="B1384" s="339"/>
      <c r="C1384" s="86" t="str">
        <f t="shared" si="42"/>
        <v>completeHuyen.6008</v>
      </c>
      <c r="D1384" s="339"/>
      <c r="F1384" s="340"/>
    </row>
    <row r="1385" hidden="1">
      <c r="B1385" s="339"/>
      <c r="C1385" s="86" t="str">
        <f t="shared" si="42"/>
        <v>completeHuyen.6009</v>
      </c>
      <c r="D1385" s="339"/>
      <c r="F1385" s="340"/>
    </row>
    <row r="1386" hidden="1">
      <c r="B1386" s="339"/>
      <c r="C1386" s="86" t="str">
        <f t="shared" si="42"/>
        <v>completeHuyen.60010</v>
      </c>
      <c r="D1386" s="339"/>
      <c r="F1386" s="340"/>
    </row>
    <row r="1387" hidden="1">
      <c r="B1387" s="339"/>
      <c r="C1387" s="86" t="str">
        <f t="shared" si="42"/>
        <v>completeHuyen.60011</v>
      </c>
      <c r="D1387" s="339"/>
      <c r="F1387" s="340"/>
    </row>
    <row r="1388" hidden="1">
      <c r="B1388" s="339"/>
      <c r="C1388" s="86" t="str">
        <f t="shared" si="42"/>
        <v>completeHuyen.60012</v>
      </c>
      <c r="D1388" s="339"/>
      <c r="F1388" s="340"/>
    </row>
    <row r="1389" hidden="1">
      <c r="B1389" s="339"/>
      <c r="C1389" s="86" t="str">
        <f t="shared" si="42"/>
        <v>completeHuyen.60013</v>
      </c>
      <c r="D1389" s="339"/>
      <c r="F1389" s="340"/>
    </row>
    <row r="1390" hidden="1">
      <c r="B1390" s="339"/>
      <c r="C1390" s="86" t="str">
        <f t="shared" si="42"/>
        <v>completeHuyen.60014</v>
      </c>
      <c r="D1390" s="339"/>
      <c r="F1390" s="340"/>
    </row>
    <row r="1391" hidden="1">
      <c r="B1391" s="339"/>
      <c r="C1391" s="86" t="str">
        <f t="shared" si="42"/>
        <v>complete</v>
      </c>
      <c r="D1391" s="339"/>
      <c r="F1391" s="340"/>
    </row>
    <row r="1392" hidden="1">
      <c r="B1392" s="339"/>
      <c r="C1392" s="86" t="str">
        <f t="shared" si="42"/>
        <v>complete</v>
      </c>
      <c r="D1392" s="339"/>
      <c r="F1392" s="340"/>
    </row>
    <row r="1393" hidden="1">
      <c r="B1393" s="339"/>
      <c r="C1393" s="86" t="str">
        <f t="shared" si="42"/>
        <v>complete</v>
      </c>
      <c r="D1393" s="339"/>
      <c r="F1393" s="340"/>
    </row>
    <row r="1394" hidden="1">
      <c r="B1394" s="339"/>
      <c r="C1394" s="86" t="str">
        <f t="shared" si="42"/>
        <v>complete</v>
      </c>
      <c r="D1394" s="339"/>
      <c r="F1394" s="340"/>
    </row>
    <row r="1395" hidden="1">
      <c r="B1395" s="339"/>
      <c r="C1395" s="86" t="str">
        <f t="shared" si="42"/>
        <v>complete</v>
      </c>
      <c r="D1395" s="339"/>
      <c r="F1395" s="340"/>
    </row>
    <row r="1396" hidden="1">
      <c r="B1396" s="339"/>
      <c r="C1396" s="86" t="str">
        <f t="shared" si="42"/>
        <v>completeNick Name:Dat.600</v>
      </c>
      <c r="D1396" s="339"/>
      <c r="F1396" s="340"/>
    </row>
    <row r="1397" hidden="1">
      <c r="B1397" s="339"/>
      <c r="C1397" s="86" t="str">
        <f t="shared" si="42"/>
        <v>completeFull Name:Dat.600</v>
      </c>
      <c r="D1397" s="339"/>
      <c r="F1397" s="340"/>
    </row>
    <row r="1398" hidden="1">
      <c r="B1398" s="339"/>
      <c r="C1398" s="86" t="str">
        <f t="shared" si="42"/>
        <v>completePosition:Dat.600</v>
      </c>
      <c r="D1398" s="339"/>
      <c r="F1398" s="340"/>
    </row>
    <row r="1399" hidden="1">
      <c r="B1399" s="339"/>
      <c r="C1399" s="86" t="str">
        <f t="shared" si="42"/>
        <v>completeBirth:Dat.600</v>
      </c>
      <c r="D1399" s="339"/>
      <c r="F1399" s="340"/>
    </row>
    <row r="1400" hidden="1">
      <c r="B1400" s="339"/>
      <c r="C1400" s="86" t="str">
        <f t="shared" si="42"/>
        <v>completeExperience:Dat.600</v>
      </c>
      <c r="D1400" s="339"/>
      <c r="F1400" s="340"/>
    </row>
    <row r="1401" hidden="1">
      <c r="B1401" s="339"/>
      <c r="C1401" s="86" t="str">
        <f t="shared" si="42"/>
        <v>completeQuote:Dat.600</v>
      </c>
      <c r="D1401" s="339"/>
      <c r="F1401" s="340"/>
    </row>
    <row r="1402" hidden="1">
      <c r="B1402" s="339"/>
      <c r="C1402" s="86" t="str">
        <f t="shared" si="42"/>
        <v>complete</v>
      </c>
      <c r="D1402" s="339"/>
      <c r="F1402" s="340"/>
    </row>
    <row r="1403" hidden="1">
      <c r="B1403" s="339"/>
      <c r="C1403" s="86" t="str">
        <f t="shared" si="42"/>
        <v>complete</v>
      </c>
      <c r="D1403" s="339"/>
      <c r="F1403" s="340"/>
    </row>
    <row r="1404" hidden="1">
      <c r="B1404" s="339"/>
      <c r="C1404" s="86" t="str">
        <f t="shared" si="42"/>
        <v>complete❤️️Dat.600</v>
      </c>
      <c r="D1404" s="339"/>
      <c r="F1404" s="340"/>
    </row>
    <row r="1405" hidden="1">
      <c r="B1405" s="339"/>
      <c r="C1405" s="86" t="str">
        <f t="shared" si="42"/>
        <v>complete</v>
      </c>
      <c r="D1405" s="339"/>
      <c r="F1405" s="340"/>
    </row>
    <row r="1406" hidden="1">
      <c r="B1406" s="339"/>
      <c r="C1406" s="86" t="str">
        <f t="shared" si="42"/>
        <v>complete</v>
      </c>
      <c r="D1406" s="339"/>
      <c r="F1406" s="340"/>
    </row>
    <row r="1407" hidden="1">
      <c r="B1407" s="339"/>
      <c r="C1407" s="86" t="str">
        <f t="shared" si="42"/>
        <v>completeDat.6001</v>
      </c>
      <c r="D1407" s="339"/>
      <c r="F1407" s="340"/>
    </row>
    <row r="1408" hidden="1">
      <c r="B1408" s="339"/>
      <c r="C1408" s="86" t="str">
        <f t="shared" si="42"/>
        <v>completeDat.6002</v>
      </c>
      <c r="D1408" s="339"/>
      <c r="F1408" s="340"/>
    </row>
    <row r="1409" hidden="1">
      <c r="B1409" s="339"/>
      <c r="C1409" s="86" t="str">
        <f t="shared" si="42"/>
        <v>completeDat.6003</v>
      </c>
      <c r="D1409" s="339"/>
      <c r="F1409" s="340"/>
    </row>
    <row r="1410" hidden="1">
      <c r="B1410" s="339"/>
      <c r="C1410" s="86" t="str">
        <f t="shared" si="42"/>
        <v>completeDat.6004</v>
      </c>
      <c r="D1410" s="339"/>
      <c r="F1410" s="340"/>
    </row>
    <row r="1411" hidden="1">
      <c r="B1411" s="339"/>
      <c r="C1411" s="86" t="str">
        <f t="shared" si="42"/>
        <v>completeDat.6005</v>
      </c>
      <c r="D1411" s="339"/>
      <c r="F1411" s="340"/>
    </row>
    <row r="1412" hidden="1">
      <c r="B1412" s="339"/>
      <c r="C1412" s="86" t="str">
        <f t="shared" si="42"/>
        <v>completeDat.6006</v>
      </c>
      <c r="D1412" s="339"/>
      <c r="F1412" s="340"/>
    </row>
    <row r="1413" hidden="1">
      <c r="B1413" s="339"/>
      <c r="C1413" s="86" t="str">
        <f t="shared" si="42"/>
        <v>completeDat.6007</v>
      </c>
      <c r="D1413" s="339"/>
      <c r="F1413" s="340"/>
    </row>
    <row r="1414" hidden="1">
      <c r="B1414" s="339"/>
      <c r="C1414" s="86" t="str">
        <f t="shared" si="42"/>
        <v>completeDat.6008</v>
      </c>
      <c r="D1414" s="339"/>
      <c r="F1414" s="340"/>
    </row>
    <row r="1415" hidden="1">
      <c r="B1415" s="339"/>
      <c r="C1415" s="86" t="str">
        <f t="shared" si="42"/>
        <v>completeDat.6009</v>
      </c>
      <c r="D1415" s="339"/>
      <c r="F1415" s="340"/>
    </row>
    <row r="1416" hidden="1">
      <c r="B1416" s="339"/>
      <c r="C1416" s="86" t="str">
        <f t="shared" si="42"/>
        <v>completeDat.60010</v>
      </c>
      <c r="D1416" s="339"/>
      <c r="F1416" s="340"/>
    </row>
    <row r="1417" hidden="1">
      <c r="B1417" s="339"/>
      <c r="C1417" s="86" t="str">
        <f t="shared" si="42"/>
        <v>completeDat.60011</v>
      </c>
      <c r="D1417" s="339"/>
      <c r="F1417" s="340"/>
    </row>
    <row r="1418" hidden="1">
      <c r="B1418" s="339"/>
      <c r="C1418" s="86" t="str">
        <f t="shared" si="42"/>
        <v>completeDat.60012</v>
      </c>
      <c r="D1418" s="339"/>
      <c r="F1418" s="340"/>
    </row>
    <row r="1419" hidden="1">
      <c r="B1419" s="339"/>
      <c r="C1419" s="86" t="str">
        <f t="shared" si="42"/>
        <v>completeDat.60013</v>
      </c>
      <c r="D1419" s="339"/>
      <c r="F1419" s="340"/>
    </row>
    <row r="1420" hidden="1">
      <c r="B1420" s="339"/>
      <c r="C1420" s="86" t="str">
        <f t="shared" si="42"/>
        <v>completeDat.60014</v>
      </c>
      <c r="D1420" s="339"/>
      <c r="F1420" s="340"/>
    </row>
    <row r="1421" hidden="1">
      <c r="B1421" s="339"/>
      <c r="C1421" s="86" t="str">
        <f t="shared" si="42"/>
        <v>complete</v>
      </c>
      <c r="D1421" s="339"/>
      <c r="F1421" s="340"/>
    </row>
    <row r="1422" hidden="1">
      <c r="B1422" s="339"/>
      <c r="C1422" s="86" t="str">
        <f t="shared" si="42"/>
        <v>complete</v>
      </c>
      <c r="D1422" s="339"/>
      <c r="F1422" s="340"/>
    </row>
    <row r="1423" hidden="1">
      <c r="B1423" s="339"/>
      <c r="C1423" s="86" t="str">
        <f t="shared" si="42"/>
        <v>complete</v>
      </c>
      <c r="D1423" s="339"/>
      <c r="F1423" s="340"/>
    </row>
    <row r="1424" hidden="1">
      <c r="B1424" s="339"/>
      <c r="C1424" s="86" t="str">
        <f t="shared" si="42"/>
        <v>complete</v>
      </c>
      <c r="D1424" s="339"/>
      <c r="F1424" s="340"/>
    </row>
    <row r="1425" hidden="1">
      <c r="B1425" s="339"/>
      <c r="C1425" s="86" t="str">
        <f t="shared" si="42"/>
        <v>complete</v>
      </c>
      <c r="D1425" s="339"/>
      <c r="F1425" s="340"/>
    </row>
    <row r="1426" hidden="1">
      <c r="B1426" s="339"/>
      <c r="C1426" s="86" t="str">
        <f t="shared" si="42"/>
        <v>completeNick Name:K.Anh.600</v>
      </c>
      <c r="D1426" s="339"/>
      <c r="F1426" s="340"/>
    </row>
    <row r="1427" hidden="1">
      <c r="B1427" s="339"/>
      <c r="C1427" s="86" t="str">
        <f t="shared" si="42"/>
        <v>completeFull Name:K.Anh.600</v>
      </c>
      <c r="D1427" s="339"/>
      <c r="F1427" s="340"/>
    </row>
    <row r="1428" hidden="1">
      <c r="B1428" s="339"/>
      <c r="C1428" s="86" t="str">
        <f t="shared" si="42"/>
        <v>completePosition:K.Anh.600</v>
      </c>
      <c r="D1428" s="339"/>
      <c r="F1428" s="340"/>
    </row>
    <row r="1429" hidden="1">
      <c r="B1429" s="339"/>
      <c r="C1429" s="86" t="str">
        <f t="shared" si="42"/>
        <v>completeBirth:K.Anh.600</v>
      </c>
      <c r="D1429" s="339"/>
      <c r="F1429" s="340"/>
    </row>
    <row r="1430" hidden="1">
      <c r="B1430" s="339"/>
      <c r="C1430" s="86" t="str">
        <f t="shared" si="42"/>
        <v>completeExperience:K.Anh.600</v>
      </c>
      <c r="D1430" s="339"/>
      <c r="F1430" s="340"/>
    </row>
    <row r="1431" hidden="1">
      <c r="B1431" s="339"/>
      <c r="C1431" s="86" t="str">
        <f t="shared" si="42"/>
        <v>completeQuote:K.Anh.600</v>
      </c>
      <c r="D1431" s="339"/>
      <c r="F1431" s="340"/>
    </row>
    <row r="1432" hidden="1">
      <c r="B1432" s="339"/>
      <c r="C1432" s="86" t="str">
        <f t="shared" si="42"/>
        <v>complete</v>
      </c>
      <c r="D1432" s="339"/>
      <c r="F1432" s="340"/>
    </row>
    <row r="1433" hidden="1">
      <c r="B1433" s="339"/>
      <c r="C1433" s="86" t="str">
        <f t="shared" si="42"/>
        <v>complete</v>
      </c>
      <c r="D1433" s="339"/>
      <c r="F1433" s="340"/>
    </row>
    <row r="1434" hidden="1">
      <c r="B1434" s="339"/>
      <c r="C1434" s="86" t="str">
        <f t="shared" si="42"/>
        <v>complete❤️️K.Anh.600</v>
      </c>
      <c r="D1434" s="339"/>
      <c r="F1434" s="340"/>
    </row>
    <row r="1435" hidden="1">
      <c r="B1435" s="339"/>
      <c r="C1435" s="86" t="str">
        <f t="shared" si="42"/>
        <v>complete</v>
      </c>
      <c r="D1435" s="339"/>
      <c r="F1435" s="340"/>
    </row>
    <row r="1436" hidden="1">
      <c r="B1436" s="339"/>
      <c r="C1436" s="86" t="str">
        <f t="shared" si="42"/>
        <v>complete</v>
      </c>
      <c r="D1436" s="339"/>
      <c r="F1436" s="340"/>
    </row>
    <row r="1437" hidden="1">
      <c r="B1437" s="339"/>
      <c r="C1437" s="86" t="str">
        <f t="shared" si="42"/>
        <v>completeK.Anh.6001</v>
      </c>
      <c r="D1437" s="339"/>
      <c r="F1437" s="340"/>
    </row>
    <row r="1438" hidden="1">
      <c r="B1438" s="339"/>
      <c r="C1438" s="86" t="str">
        <f t="shared" si="42"/>
        <v>completeK.Anh.6002</v>
      </c>
      <c r="D1438" s="339"/>
      <c r="F1438" s="340"/>
    </row>
    <row r="1439" hidden="1">
      <c r="B1439" s="339"/>
      <c r="C1439" s="86" t="str">
        <f t="shared" si="42"/>
        <v>completeK.Anh.6003</v>
      </c>
      <c r="D1439" s="339"/>
      <c r="F1439" s="340"/>
    </row>
    <row r="1440" hidden="1">
      <c r="B1440" s="339"/>
      <c r="C1440" s="86" t="str">
        <f t="shared" si="42"/>
        <v>completeK.Anh.6004</v>
      </c>
      <c r="D1440" s="339"/>
      <c r="F1440" s="340"/>
    </row>
    <row r="1441" hidden="1">
      <c r="B1441" s="339"/>
      <c r="C1441" s="86" t="str">
        <f t="shared" si="42"/>
        <v>completeK.Anh.6005</v>
      </c>
      <c r="D1441" s="339"/>
      <c r="F1441" s="340"/>
    </row>
    <row r="1442" hidden="1">
      <c r="B1442" s="339"/>
      <c r="C1442" s="86" t="str">
        <f t="shared" si="42"/>
        <v>completeK.Anh.6006</v>
      </c>
      <c r="D1442" s="339"/>
      <c r="F1442" s="340"/>
    </row>
    <row r="1443" hidden="1">
      <c r="B1443" s="339"/>
      <c r="C1443" s="86" t="str">
        <f t="shared" si="42"/>
        <v>completeK.Anh.6007</v>
      </c>
      <c r="D1443" s="339"/>
      <c r="F1443" s="340"/>
    </row>
    <row r="1444" hidden="1">
      <c r="B1444" s="339"/>
      <c r="C1444" s="86" t="str">
        <f t="shared" si="42"/>
        <v>completeK.Anh.6008</v>
      </c>
      <c r="D1444" s="339"/>
      <c r="F1444" s="340"/>
    </row>
    <row r="1445" hidden="1">
      <c r="B1445" s="339"/>
      <c r="C1445" s="86" t="str">
        <f t="shared" si="42"/>
        <v>completeK.Anh.6009</v>
      </c>
      <c r="D1445" s="339"/>
      <c r="F1445" s="340"/>
    </row>
    <row r="1446" hidden="1">
      <c r="B1446" s="339"/>
      <c r="C1446" s="86" t="str">
        <f t="shared" si="42"/>
        <v>completeK.Anh.60010</v>
      </c>
      <c r="D1446" s="339"/>
      <c r="F1446" s="340"/>
    </row>
    <row r="1447" hidden="1">
      <c r="B1447" s="339"/>
      <c r="C1447" s="86" t="str">
        <f t="shared" si="42"/>
        <v>completeK.Anh.60011</v>
      </c>
      <c r="D1447" s="339"/>
      <c r="F1447" s="340"/>
    </row>
    <row r="1448" hidden="1">
      <c r="B1448" s="339"/>
      <c r="C1448" s="86" t="str">
        <f t="shared" si="42"/>
        <v>completeK.Anh.60012</v>
      </c>
      <c r="D1448" s="339"/>
      <c r="F1448" s="340"/>
    </row>
    <row r="1449" hidden="1">
      <c r="B1449" s="339"/>
      <c r="C1449" s="86" t="str">
        <f t="shared" si="42"/>
        <v>completeK.Anh.60013</v>
      </c>
      <c r="D1449" s="339"/>
      <c r="F1449" s="340"/>
    </row>
    <row r="1450" hidden="1">
      <c r="B1450" s="339"/>
      <c r="C1450" s="86" t="str">
        <f t="shared" si="42"/>
        <v>completeK.Anh.60014</v>
      </c>
      <c r="D1450" s="339"/>
      <c r="F1450" s="340"/>
    </row>
    <row r="1451" hidden="1">
      <c r="B1451" s="339"/>
      <c r="C1451" s="86" t="str">
        <f t="shared" si="42"/>
        <v>complete</v>
      </c>
      <c r="D1451" s="339"/>
      <c r="F1451" s="340"/>
    </row>
    <row r="1452" hidden="1">
      <c r="B1452" s="339"/>
      <c r="C1452" s="86" t="str">
        <f t="shared" si="42"/>
        <v>complete</v>
      </c>
      <c r="D1452" s="339"/>
      <c r="F1452" s="340"/>
    </row>
    <row r="1453" hidden="1">
      <c r="B1453" s="339"/>
      <c r="C1453" s="86" t="str">
        <f t="shared" si="42"/>
        <v>complete</v>
      </c>
      <c r="D1453" s="339"/>
      <c r="F1453" s="340"/>
    </row>
    <row r="1454" hidden="1">
      <c r="B1454" s="339"/>
      <c r="C1454" s="86" t="str">
        <f t="shared" si="42"/>
        <v>complete</v>
      </c>
      <c r="D1454" s="339"/>
      <c r="F1454" s="340"/>
    </row>
    <row r="1455" hidden="1">
      <c r="B1455" s="339"/>
      <c r="C1455" s="86" t="str">
        <f t="shared" si="42"/>
        <v>complete</v>
      </c>
      <c r="D1455" s="339"/>
      <c r="F1455" s="340"/>
    </row>
    <row r="1456" hidden="1">
      <c r="B1456" s="339"/>
      <c r="C1456" s="86" t="str">
        <f t="shared" si="42"/>
        <v>completeNick Name:Vu.600</v>
      </c>
      <c r="D1456" s="339"/>
      <c r="F1456" s="340"/>
    </row>
    <row r="1457" hidden="1">
      <c r="B1457" s="339"/>
      <c r="C1457" s="86" t="str">
        <f t="shared" si="42"/>
        <v>completeFull Name:Vu.600</v>
      </c>
      <c r="D1457" s="339"/>
      <c r="F1457" s="340"/>
    </row>
    <row r="1458" hidden="1">
      <c r="B1458" s="339"/>
      <c r="C1458" s="86" t="str">
        <f t="shared" si="42"/>
        <v>completePosition:Vu.600</v>
      </c>
      <c r="D1458" s="339"/>
      <c r="F1458" s="340"/>
    </row>
    <row r="1459" hidden="1">
      <c r="B1459" s="339"/>
      <c r="C1459" s="86" t="str">
        <f t="shared" si="42"/>
        <v>completeBirth:Vu.600</v>
      </c>
      <c r="D1459" s="339"/>
      <c r="F1459" s="340"/>
    </row>
    <row r="1460" hidden="1">
      <c r="B1460" s="339"/>
      <c r="C1460" s="86" t="str">
        <f t="shared" si="42"/>
        <v>completeExperience:Vu.600</v>
      </c>
      <c r="D1460" s="339"/>
      <c r="F1460" s="340"/>
    </row>
    <row r="1461" hidden="1">
      <c r="B1461" s="339"/>
      <c r="C1461" s="86" t="str">
        <f t="shared" si="42"/>
        <v>completeQuote:Vu.600</v>
      </c>
      <c r="D1461" s="339"/>
      <c r="F1461" s="340"/>
    </row>
    <row r="1462" hidden="1">
      <c r="B1462" s="339"/>
      <c r="C1462" s="86" t="str">
        <f t="shared" si="42"/>
        <v>complete</v>
      </c>
      <c r="D1462" s="339"/>
      <c r="F1462" s="340"/>
    </row>
    <row r="1463" hidden="1">
      <c r="B1463" s="339"/>
      <c r="C1463" s="86" t="str">
        <f t="shared" si="42"/>
        <v>complete</v>
      </c>
      <c r="D1463" s="339"/>
      <c r="F1463" s="340"/>
    </row>
    <row r="1464" hidden="1">
      <c r="B1464" s="339"/>
      <c r="C1464" s="86" t="str">
        <f t="shared" si="42"/>
        <v>complete❤️️Vu.600</v>
      </c>
      <c r="D1464" s="339"/>
      <c r="F1464" s="340"/>
    </row>
    <row r="1465" hidden="1">
      <c r="B1465" s="339"/>
      <c r="C1465" s="86" t="str">
        <f t="shared" si="42"/>
        <v>complete</v>
      </c>
      <c r="D1465" s="339"/>
      <c r="F1465" s="340"/>
    </row>
    <row r="1466" hidden="1">
      <c r="B1466" s="339"/>
      <c r="C1466" s="86" t="str">
        <f t="shared" si="42"/>
        <v>complete</v>
      </c>
      <c r="D1466" s="339"/>
      <c r="F1466" s="340"/>
    </row>
    <row r="1467" hidden="1">
      <c r="B1467" s="339"/>
      <c r="C1467" s="86" t="str">
        <f t="shared" si="42"/>
        <v>completeVu.6001</v>
      </c>
      <c r="D1467" s="339"/>
      <c r="F1467" s="340"/>
    </row>
    <row r="1468" hidden="1">
      <c r="B1468" s="339"/>
      <c r="C1468" s="86" t="str">
        <f t="shared" si="42"/>
        <v>completeVu.6002</v>
      </c>
      <c r="D1468" s="339"/>
      <c r="F1468" s="340"/>
    </row>
    <row r="1469" hidden="1">
      <c r="B1469" s="339"/>
      <c r="C1469" s="86" t="str">
        <f t="shared" si="42"/>
        <v>completeVu.6003</v>
      </c>
      <c r="D1469" s="339"/>
      <c r="F1469" s="340"/>
    </row>
    <row r="1470" hidden="1">
      <c r="B1470" s="339"/>
      <c r="C1470" s="86" t="str">
        <f t="shared" si="42"/>
        <v>completeVu.6004</v>
      </c>
      <c r="D1470" s="339"/>
      <c r="F1470" s="340"/>
    </row>
    <row r="1471" hidden="1">
      <c r="B1471" s="339"/>
      <c r="C1471" s="86" t="str">
        <f t="shared" si="42"/>
        <v>completeVu.6005</v>
      </c>
      <c r="D1471" s="339"/>
      <c r="F1471" s="340"/>
    </row>
    <row r="1472" hidden="1">
      <c r="B1472" s="339"/>
      <c r="C1472" s="86" t="str">
        <f t="shared" si="42"/>
        <v>completeVu.6006</v>
      </c>
      <c r="D1472" s="339"/>
      <c r="F1472" s="340"/>
    </row>
    <row r="1473" hidden="1">
      <c r="B1473" s="339"/>
      <c r="C1473" s="86" t="str">
        <f t="shared" si="42"/>
        <v>completeVu.6007</v>
      </c>
      <c r="D1473" s="339"/>
      <c r="F1473" s="340"/>
    </row>
    <row r="1474" hidden="1">
      <c r="B1474" s="339"/>
      <c r="C1474" s="86" t="str">
        <f t="shared" si="42"/>
        <v>completeVu.6008</v>
      </c>
      <c r="D1474" s="339"/>
      <c r="F1474" s="340"/>
    </row>
    <row r="1475" hidden="1">
      <c r="B1475" s="339"/>
      <c r="C1475" s="86" t="str">
        <f t="shared" si="42"/>
        <v>completeVu.6009</v>
      </c>
      <c r="D1475" s="339"/>
      <c r="F1475" s="340"/>
    </row>
    <row r="1476" hidden="1">
      <c r="B1476" s="339"/>
      <c r="C1476" s="86" t="str">
        <f t="shared" si="42"/>
        <v>completeVu.60010</v>
      </c>
      <c r="D1476" s="339"/>
      <c r="F1476" s="340"/>
    </row>
    <row r="1477" hidden="1">
      <c r="B1477" s="339"/>
      <c r="C1477" s="86" t="str">
        <f t="shared" si="42"/>
        <v>completeVu.60011</v>
      </c>
      <c r="D1477" s="339"/>
      <c r="F1477" s="340"/>
    </row>
    <row r="1478" hidden="1">
      <c r="B1478" s="339"/>
      <c r="C1478" s="86" t="str">
        <f t="shared" si="42"/>
        <v>completeVu.60012</v>
      </c>
      <c r="D1478" s="339"/>
      <c r="F1478" s="340"/>
    </row>
    <row r="1479" hidden="1">
      <c r="B1479" s="339"/>
      <c r="C1479" s="86" t="str">
        <f t="shared" si="42"/>
        <v>completeVu.60013</v>
      </c>
      <c r="D1479" s="339"/>
      <c r="F1479" s="340"/>
    </row>
    <row r="1480" hidden="1">
      <c r="B1480" s="339"/>
      <c r="C1480" s="86" t="str">
        <f t="shared" si="42"/>
        <v>completeVu.60014</v>
      </c>
      <c r="D1480" s="339"/>
      <c r="F1480" s="340"/>
    </row>
    <row r="1481" hidden="1">
      <c r="B1481" s="339"/>
      <c r="C1481" s="86" t="str">
        <f t="shared" si="42"/>
        <v>complete</v>
      </c>
      <c r="D1481" s="339"/>
      <c r="F1481" s="340"/>
    </row>
    <row r="1482" hidden="1">
      <c r="B1482" s="339"/>
      <c r="C1482" s="86" t="str">
        <f t="shared" si="42"/>
        <v>complete</v>
      </c>
      <c r="D1482" s="339"/>
      <c r="F1482" s="340"/>
    </row>
    <row r="1483" hidden="1">
      <c r="B1483" s="339"/>
      <c r="C1483" s="86" t="str">
        <f t="shared" si="42"/>
        <v>complete</v>
      </c>
      <c r="D1483" s="339"/>
      <c r="F1483" s="340"/>
    </row>
    <row r="1484" hidden="1">
      <c r="B1484" s="339"/>
      <c r="C1484" s="86" t="str">
        <f t="shared" si="42"/>
        <v>complete</v>
      </c>
      <c r="D1484" s="339"/>
      <c r="F1484" s="340"/>
    </row>
    <row r="1485" hidden="1">
      <c r="B1485" s="339"/>
      <c r="C1485" s="86" t="str">
        <f t="shared" si="42"/>
        <v>complete</v>
      </c>
      <c r="D1485" s="339"/>
      <c r="F1485" s="340"/>
    </row>
    <row r="1486" hidden="1">
      <c r="B1486" s="339"/>
      <c r="C1486" s="86" t="str">
        <f t="shared" si="42"/>
        <v>completeNick Name:Thang.600</v>
      </c>
      <c r="D1486" s="339"/>
      <c r="F1486" s="340"/>
    </row>
    <row r="1487" hidden="1">
      <c r="B1487" s="339"/>
      <c r="C1487" s="86" t="str">
        <f t="shared" si="42"/>
        <v>completeFull Name:Thang.600</v>
      </c>
      <c r="D1487" s="339"/>
      <c r="F1487" s="340"/>
    </row>
    <row r="1488" hidden="1">
      <c r="B1488" s="339"/>
      <c r="C1488" s="86" t="str">
        <f t="shared" si="42"/>
        <v>completePosition:Thang.600</v>
      </c>
      <c r="D1488" s="339"/>
      <c r="F1488" s="340"/>
    </row>
    <row r="1489" hidden="1">
      <c r="B1489" s="339"/>
      <c r="C1489" s="86" t="str">
        <f t="shared" si="42"/>
        <v>completeBirth:Thang.600</v>
      </c>
      <c r="D1489" s="339"/>
      <c r="F1489" s="340"/>
    </row>
    <row r="1490" hidden="1">
      <c r="B1490" s="339"/>
      <c r="C1490" s="86" t="str">
        <f t="shared" si="42"/>
        <v>completeExperience:Thang.600</v>
      </c>
      <c r="D1490" s="339"/>
      <c r="F1490" s="340"/>
    </row>
    <row r="1491" hidden="1">
      <c r="B1491" s="339"/>
      <c r="C1491" s="86" t="str">
        <f t="shared" si="42"/>
        <v>completeQuote:Thang.600</v>
      </c>
      <c r="D1491" s="339"/>
      <c r="F1491" s="340"/>
    </row>
    <row r="1492" hidden="1">
      <c r="B1492" s="339"/>
      <c r="C1492" s="86" t="str">
        <f t="shared" si="42"/>
        <v>complete</v>
      </c>
      <c r="D1492" s="339"/>
      <c r="F1492" s="340"/>
    </row>
    <row r="1493" hidden="1">
      <c r="B1493" s="339"/>
      <c r="C1493" s="86" t="str">
        <f t="shared" si="42"/>
        <v>complete</v>
      </c>
      <c r="D1493" s="339"/>
      <c r="F1493" s="340"/>
    </row>
    <row r="1494" hidden="1">
      <c r="B1494" s="339"/>
      <c r="C1494" s="86" t="str">
        <f t="shared" si="42"/>
        <v>complete❤️️Thang.600</v>
      </c>
      <c r="D1494" s="339"/>
      <c r="F1494" s="340"/>
    </row>
    <row r="1495" hidden="1">
      <c r="B1495" s="339"/>
      <c r="C1495" s="86" t="str">
        <f t="shared" si="42"/>
        <v>complete</v>
      </c>
      <c r="D1495" s="339"/>
      <c r="F1495" s="340"/>
    </row>
    <row r="1496" hidden="1">
      <c r="B1496" s="339"/>
      <c r="C1496" s="86" t="str">
        <f t="shared" si="42"/>
        <v>complete</v>
      </c>
      <c r="D1496" s="339"/>
      <c r="F1496" s="340"/>
    </row>
    <row r="1497" hidden="1">
      <c r="B1497" s="339"/>
      <c r="C1497" s="86" t="str">
        <f t="shared" si="42"/>
        <v>completeThang.6001</v>
      </c>
      <c r="D1497" s="339"/>
      <c r="F1497" s="340"/>
    </row>
    <row r="1498" hidden="1">
      <c r="B1498" s="339"/>
      <c r="C1498" s="86" t="str">
        <f t="shared" si="42"/>
        <v>completeThang.6002</v>
      </c>
      <c r="D1498" s="339"/>
      <c r="F1498" s="340"/>
    </row>
    <row r="1499" hidden="1">
      <c r="B1499" s="339"/>
      <c r="C1499" s="86" t="str">
        <f t="shared" si="42"/>
        <v>completeThang.6003</v>
      </c>
      <c r="D1499" s="339"/>
      <c r="F1499" s="340"/>
    </row>
    <row r="1500" hidden="1">
      <c r="B1500" s="339"/>
      <c r="C1500" s="86" t="str">
        <f t="shared" si="42"/>
        <v>completeThang.6004</v>
      </c>
      <c r="D1500" s="339"/>
      <c r="F1500" s="340"/>
    </row>
    <row r="1501" hidden="1">
      <c r="B1501" s="339"/>
      <c r="C1501" s="86" t="str">
        <f t="shared" si="42"/>
        <v>completeThang.6005</v>
      </c>
      <c r="D1501" s="339"/>
      <c r="F1501" s="340"/>
    </row>
    <row r="1502" hidden="1">
      <c r="B1502" s="339"/>
      <c r="C1502" s="86" t="str">
        <f t="shared" si="42"/>
        <v>completeThang.6006</v>
      </c>
      <c r="D1502" s="339"/>
      <c r="F1502" s="340"/>
    </row>
    <row r="1503" hidden="1">
      <c r="B1503" s="339"/>
      <c r="C1503" s="86" t="str">
        <f t="shared" si="42"/>
        <v>completeThang.6007</v>
      </c>
      <c r="D1503" s="339"/>
      <c r="F1503" s="340"/>
    </row>
    <row r="1504" hidden="1">
      <c r="B1504" s="339"/>
      <c r="C1504" s="86" t="str">
        <f t="shared" si="42"/>
        <v>completeThang.6008</v>
      </c>
      <c r="D1504" s="339"/>
      <c r="F1504" s="340"/>
    </row>
    <row r="1505" hidden="1">
      <c r="B1505" s="339"/>
      <c r="C1505" s="86" t="str">
        <f t="shared" si="42"/>
        <v>completeThang.6009</v>
      </c>
      <c r="D1505" s="339"/>
      <c r="F1505" s="340"/>
    </row>
    <row r="1506" hidden="1">
      <c r="B1506" s="339"/>
      <c r="C1506" s="86" t="str">
        <f t="shared" si="42"/>
        <v>completeThang.60010</v>
      </c>
      <c r="D1506" s="339"/>
      <c r="F1506" s="340"/>
    </row>
    <row r="1507" hidden="1">
      <c r="B1507" s="339"/>
      <c r="C1507" s="86" t="str">
        <f t="shared" si="42"/>
        <v>completeThang.60011</v>
      </c>
      <c r="D1507" s="339"/>
      <c r="F1507" s="340"/>
    </row>
    <row r="1508" hidden="1">
      <c r="B1508" s="339"/>
      <c r="C1508" s="86" t="str">
        <f t="shared" si="42"/>
        <v>completeThang.60012</v>
      </c>
      <c r="D1508" s="339"/>
      <c r="F1508" s="340"/>
    </row>
    <row r="1509" hidden="1">
      <c r="B1509" s="339"/>
      <c r="C1509" s="86" t="str">
        <f t="shared" si="42"/>
        <v>completeThang.60013</v>
      </c>
      <c r="D1509" s="339"/>
      <c r="F1509" s="340"/>
    </row>
    <row r="1510" hidden="1">
      <c r="B1510" s="339"/>
      <c r="C1510" s="86" t="str">
        <f t="shared" si="42"/>
        <v>completeThang.60014</v>
      </c>
      <c r="D1510" s="339"/>
      <c r="F1510" s="340"/>
    </row>
    <row r="1511" hidden="1">
      <c r="B1511" s="339"/>
      <c r="C1511" s="86" t="str">
        <f t="shared" si="42"/>
        <v>complete</v>
      </c>
      <c r="D1511" s="339"/>
      <c r="F1511" s="340"/>
    </row>
    <row r="1512" hidden="1">
      <c r="B1512" s="339"/>
      <c r="C1512" s="86" t="str">
        <f t="shared" si="42"/>
        <v>complete</v>
      </c>
      <c r="D1512" s="339"/>
      <c r="F1512" s="340"/>
    </row>
    <row r="1513" hidden="1">
      <c r="B1513" s="339"/>
      <c r="C1513" s="86" t="str">
        <f t="shared" si="42"/>
        <v>complete</v>
      </c>
      <c r="D1513" s="339"/>
      <c r="F1513" s="340"/>
    </row>
    <row r="1514" hidden="1">
      <c r="B1514" s="339"/>
      <c r="C1514" s="86" t="str">
        <f t="shared" si="42"/>
        <v>complete</v>
      </c>
      <c r="D1514" s="339"/>
      <c r="F1514" s="340"/>
    </row>
    <row r="1515" hidden="1">
      <c r="B1515" s="339"/>
      <c r="C1515" s="86" t="str">
        <f t="shared" si="42"/>
        <v>complete</v>
      </c>
      <c r="D1515" s="339"/>
      <c r="F1515" s="340"/>
    </row>
    <row r="1516" hidden="1">
      <c r="B1516" s="339"/>
      <c r="C1516" s="86" t="str">
        <f t="shared" si="42"/>
        <v>completeNick Name:Hieu.600</v>
      </c>
      <c r="D1516" s="339"/>
      <c r="F1516" s="340"/>
    </row>
    <row r="1517" hidden="1">
      <c r="B1517" s="339"/>
      <c r="C1517" s="86" t="str">
        <f t="shared" si="42"/>
        <v>completeFull Name:Hieu.600</v>
      </c>
      <c r="D1517" s="339"/>
      <c r="F1517" s="340"/>
    </row>
    <row r="1518" hidden="1">
      <c r="B1518" s="339"/>
      <c r="C1518" s="86" t="str">
        <f t="shared" si="42"/>
        <v>completePosition:Hieu.600</v>
      </c>
      <c r="D1518" s="339"/>
      <c r="F1518" s="340"/>
    </row>
    <row r="1519" hidden="1">
      <c r="B1519" s="339"/>
      <c r="C1519" s="86" t="str">
        <f t="shared" si="42"/>
        <v>completeBirth:Hieu.600</v>
      </c>
      <c r="D1519" s="339"/>
      <c r="F1519" s="340"/>
    </row>
    <row r="1520" hidden="1">
      <c r="B1520" s="339"/>
      <c r="C1520" s="86" t="str">
        <f t="shared" si="42"/>
        <v>completeExperience:Hieu.600</v>
      </c>
      <c r="D1520" s="339"/>
      <c r="F1520" s="340"/>
    </row>
    <row r="1521" hidden="1">
      <c r="B1521" s="339"/>
      <c r="C1521" s="86" t="str">
        <f t="shared" si="42"/>
        <v>completeQuote:Hieu.600</v>
      </c>
      <c r="D1521" s="339"/>
      <c r="F1521" s="340"/>
    </row>
    <row r="1522" hidden="1">
      <c r="B1522" s="339"/>
      <c r="C1522" s="86" t="str">
        <f t="shared" si="42"/>
        <v>complete</v>
      </c>
      <c r="D1522" s="339"/>
      <c r="F1522" s="340"/>
    </row>
    <row r="1523" hidden="1">
      <c r="B1523" s="339"/>
      <c r="C1523" s="86" t="str">
        <f t="shared" si="42"/>
        <v>complete</v>
      </c>
      <c r="D1523" s="339"/>
      <c r="F1523" s="340"/>
    </row>
    <row r="1524" hidden="1">
      <c r="B1524" s="339"/>
      <c r="C1524" s="86" t="str">
        <f t="shared" si="42"/>
        <v>complete❤️️Hieu.600</v>
      </c>
      <c r="D1524" s="339"/>
      <c r="F1524" s="340"/>
    </row>
    <row r="1525" hidden="1">
      <c r="B1525" s="339"/>
      <c r="C1525" s="86" t="str">
        <f t="shared" si="42"/>
        <v>complete</v>
      </c>
      <c r="D1525" s="339"/>
      <c r="F1525" s="340"/>
    </row>
    <row r="1526" hidden="1">
      <c r="B1526" s="339"/>
      <c r="C1526" s="86" t="str">
        <f t="shared" si="42"/>
        <v>complete</v>
      </c>
      <c r="D1526" s="339"/>
      <c r="F1526" s="340"/>
    </row>
    <row r="1527" hidden="1">
      <c r="B1527" s="339"/>
      <c r="C1527" s="86" t="str">
        <f t="shared" si="42"/>
        <v>completeHieu.6001</v>
      </c>
      <c r="D1527" s="339"/>
      <c r="F1527" s="340"/>
    </row>
    <row r="1528" hidden="1">
      <c r="B1528" s="339"/>
      <c r="C1528" s="86" t="str">
        <f t="shared" si="42"/>
        <v>completeHieu.6002</v>
      </c>
      <c r="D1528" s="339"/>
      <c r="F1528" s="340"/>
    </row>
    <row r="1529" hidden="1">
      <c r="B1529" s="339"/>
      <c r="C1529" s="86" t="str">
        <f t="shared" si="42"/>
        <v>completeHieu.6003</v>
      </c>
      <c r="D1529" s="339"/>
      <c r="F1529" s="340"/>
    </row>
    <row r="1530" hidden="1">
      <c r="B1530" s="339"/>
      <c r="C1530" s="86" t="str">
        <f t="shared" si="42"/>
        <v>completeHieu.6004</v>
      </c>
      <c r="D1530" s="339"/>
      <c r="F1530" s="340"/>
    </row>
    <row r="1531" hidden="1">
      <c r="B1531" s="339"/>
      <c r="C1531" s="86" t="str">
        <f t="shared" si="42"/>
        <v>completeHieu.6005</v>
      </c>
      <c r="D1531" s="339"/>
      <c r="F1531" s="340"/>
    </row>
    <row r="1532" hidden="1">
      <c r="B1532" s="339"/>
      <c r="C1532" s="86" t="str">
        <f t="shared" si="42"/>
        <v>completeHieu.6006</v>
      </c>
      <c r="D1532" s="339"/>
      <c r="F1532" s="340"/>
    </row>
    <row r="1533" hidden="1">
      <c r="B1533" s="339"/>
      <c r="C1533" s="86" t="str">
        <f t="shared" si="42"/>
        <v>completeHieu.6007</v>
      </c>
      <c r="D1533" s="339"/>
      <c r="F1533" s="340"/>
    </row>
    <row r="1534" hidden="1">
      <c r="B1534" s="339"/>
      <c r="C1534" s="86" t="str">
        <f t="shared" si="42"/>
        <v>completeHieu.6008</v>
      </c>
      <c r="D1534" s="339"/>
      <c r="F1534" s="340"/>
    </row>
    <row r="1535" hidden="1">
      <c r="B1535" s="339"/>
      <c r="C1535" s="86" t="str">
        <f t="shared" si="42"/>
        <v>completeHieu.6009</v>
      </c>
      <c r="D1535" s="339"/>
      <c r="F1535" s="340"/>
    </row>
    <row r="1536" hidden="1">
      <c r="B1536" s="339"/>
      <c r="C1536" s="86" t="str">
        <f t="shared" si="42"/>
        <v>completeHieu.60010</v>
      </c>
      <c r="D1536" s="339"/>
      <c r="F1536" s="340"/>
    </row>
    <row r="1537" hidden="1">
      <c r="B1537" s="339"/>
      <c r="C1537" s="86" t="str">
        <f t="shared" si="42"/>
        <v>completeHieu.60011</v>
      </c>
      <c r="D1537" s="339"/>
      <c r="F1537" s="340"/>
    </row>
    <row r="1538" hidden="1">
      <c r="B1538" s="339"/>
      <c r="C1538" s="86" t="str">
        <f t="shared" si="42"/>
        <v>completeHieu.60012</v>
      </c>
      <c r="D1538" s="339"/>
      <c r="F1538" s="340"/>
    </row>
    <row r="1539" hidden="1">
      <c r="B1539" s="339"/>
      <c r="C1539" s="86" t="str">
        <f t="shared" si="42"/>
        <v>completeHieu.60013</v>
      </c>
      <c r="D1539" s="339"/>
      <c r="F1539" s="340"/>
    </row>
    <row r="1540" hidden="1">
      <c r="B1540" s="339"/>
      <c r="C1540" s="86" t="str">
        <f t="shared" si="42"/>
        <v>completeHieu.60014</v>
      </c>
      <c r="D1540" s="339"/>
      <c r="F1540" s="340"/>
    </row>
    <row r="1541" hidden="1">
      <c r="B1541" s="339"/>
      <c r="C1541" s="86" t="str">
        <f t="shared" si="42"/>
        <v>complete</v>
      </c>
      <c r="D1541" s="339"/>
      <c r="F1541" s="340"/>
    </row>
    <row r="1542" hidden="1">
      <c r="B1542" s="339"/>
      <c r="C1542" s="86" t="str">
        <f t="shared" si="42"/>
        <v>complete</v>
      </c>
      <c r="D1542" s="339"/>
      <c r="F1542" s="340"/>
    </row>
    <row r="1543" hidden="1">
      <c r="B1543" s="339"/>
      <c r="C1543" s="86" t="str">
        <f t="shared" si="42"/>
        <v>complete</v>
      </c>
      <c r="D1543" s="339"/>
      <c r="F1543" s="340"/>
    </row>
    <row r="1544" hidden="1">
      <c r="B1544" s="339"/>
      <c r="C1544" s="86" t="str">
        <f t="shared" si="42"/>
        <v>complete</v>
      </c>
      <c r="D1544" s="339"/>
      <c r="F1544" s="340"/>
    </row>
    <row r="1545" hidden="1">
      <c r="B1545" s="339"/>
      <c r="C1545" s="86" t="str">
        <f t="shared" si="42"/>
        <v>complete</v>
      </c>
      <c r="D1545" s="339"/>
      <c r="F1545" s="340"/>
    </row>
    <row r="1546" hidden="1">
      <c r="B1546" s="339"/>
      <c r="C1546" s="86" t="str">
        <f t="shared" si="42"/>
        <v>completeNick Name:...</v>
      </c>
      <c r="D1546" s="339"/>
      <c r="F1546" s="340"/>
    </row>
    <row r="1547" hidden="1">
      <c r="B1547" s="339"/>
      <c r="C1547" s="86" t="str">
        <f t="shared" si="42"/>
        <v>completeFull Name:...</v>
      </c>
      <c r="D1547" s="339"/>
      <c r="F1547" s="340"/>
    </row>
    <row r="1548" hidden="1">
      <c r="B1548" s="339"/>
      <c r="C1548" s="86" t="str">
        <f t="shared" si="42"/>
        <v>completePosition:...</v>
      </c>
      <c r="D1548" s="339"/>
      <c r="F1548" s="340"/>
    </row>
    <row r="1549" hidden="1">
      <c r="B1549" s="339"/>
      <c r="C1549" s="86" t="str">
        <f t="shared" si="42"/>
        <v>completeBirth:...</v>
      </c>
      <c r="D1549" s="339"/>
      <c r="F1549" s="340"/>
    </row>
    <row r="1550" hidden="1">
      <c r="B1550" s="339"/>
      <c r="C1550" s="86" t="str">
        <f t="shared" si="42"/>
        <v>completeExperience:...</v>
      </c>
      <c r="D1550" s="339"/>
      <c r="F1550" s="340"/>
    </row>
    <row r="1551" hidden="1">
      <c r="B1551" s="339"/>
      <c r="C1551" s="86" t="str">
        <f t="shared" si="42"/>
        <v>completeQuote:...</v>
      </c>
      <c r="D1551" s="339"/>
      <c r="F1551" s="340"/>
    </row>
    <row r="1552" hidden="1">
      <c r="B1552" s="339"/>
      <c r="C1552" s="86" t="str">
        <f t="shared" si="42"/>
        <v>complete</v>
      </c>
      <c r="D1552" s="339"/>
      <c r="F1552" s="340"/>
    </row>
    <row r="1553" hidden="1">
      <c r="B1553" s="339"/>
      <c r="C1553" s="86" t="str">
        <f t="shared" si="42"/>
        <v>complete</v>
      </c>
      <c r="D1553" s="339"/>
      <c r="F1553" s="340"/>
    </row>
    <row r="1554" hidden="1">
      <c r="B1554" s="339"/>
      <c r="C1554" s="86" t="str">
        <f t="shared" si="42"/>
        <v>complete❤️️...</v>
      </c>
      <c r="D1554" s="339"/>
      <c r="F1554" s="340"/>
    </row>
    <row r="1555" hidden="1">
      <c r="B1555" s="339"/>
      <c r="C1555" s="86" t="str">
        <f t="shared" si="42"/>
        <v>complete</v>
      </c>
      <c r="D1555" s="339"/>
      <c r="F1555" s="340"/>
    </row>
    <row r="1556" hidden="1">
      <c r="B1556" s="339"/>
      <c r="C1556" s="86" t="str">
        <f t="shared" si="42"/>
        <v>complete</v>
      </c>
      <c r="D1556" s="339"/>
      <c r="F1556" s="340"/>
    </row>
    <row r="1557" hidden="1">
      <c r="B1557" s="339"/>
      <c r="C1557" s="86" t="str">
        <f t="shared" si="42"/>
        <v>complete...1</v>
      </c>
      <c r="D1557" s="339"/>
      <c r="F1557" s="340"/>
    </row>
    <row r="1558" hidden="1">
      <c r="B1558" s="339"/>
      <c r="C1558" s="86" t="str">
        <f t="shared" si="42"/>
        <v>complete...2</v>
      </c>
      <c r="D1558" s="339"/>
      <c r="F1558" s="340"/>
    </row>
    <row r="1559" hidden="1">
      <c r="B1559" s="339"/>
      <c r="C1559" s="86" t="str">
        <f t="shared" si="42"/>
        <v>complete...3</v>
      </c>
      <c r="D1559" s="339"/>
      <c r="F1559" s="340"/>
    </row>
    <row r="1560" hidden="1">
      <c r="B1560" s="339"/>
      <c r="C1560" s="86" t="str">
        <f t="shared" si="42"/>
        <v>complete...4</v>
      </c>
      <c r="D1560" s="339"/>
      <c r="F1560" s="340"/>
    </row>
    <row r="1561" hidden="1">
      <c r="B1561" s="339"/>
      <c r="C1561" s="86" t="str">
        <f t="shared" si="42"/>
        <v>complete...5</v>
      </c>
      <c r="D1561" s="339"/>
      <c r="F1561" s="340"/>
    </row>
    <row r="1562" hidden="1">
      <c r="B1562" s="339"/>
      <c r="C1562" s="86" t="str">
        <f t="shared" si="42"/>
        <v>complete...6</v>
      </c>
      <c r="D1562" s="339"/>
      <c r="F1562" s="340"/>
    </row>
    <row r="1563" hidden="1">
      <c r="B1563" s="339"/>
      <c r="C1563" s="86" t="str">
        <f t="shared" si="42"/>
        <v>complete...7</v>
      </c>
      <c r="D1563" s="339"/>
      <c r="F1563" s="340"/>
    </row>
    <row r="1564" hidden="1">
      <c r="B1564" s="339"/>
      <c r="C1564" s="86" t="str">
        <f t="shared" si="42"/>
        <v>complete...8</v>
      </c>
      <c r="D1564" s="339"/>
      <c r="F1564" s="340"/>
    </row>
    <row r="1565" hidden="1">
      <c r="B1565" s="339"/>
      <c r="C1565" s="86" t="str">
        <f t="shared" si="42"/>
        <v>complete...9</v>
      </c>
      <c r="D1565" s="339"/>
      <c r="F1565" s="340"/>
    </row>
    <row r="1566" hidden="1">
      <c r="B1566" s="339"/>
      <c r="C1566" s="86" t="str">
        <f t="shared" si="42"/>
        <v>complete...10</v>
      </c>
      <c r="D1566" s="339"/>
      <c r="F1566" s="340"/>
    </row>
    <row r="1567" hidden="1">
      <c r="B1567" s="339"/>
      <c r="C1567" s="86" t="str">
        <f t="shared" si="42"/>
        <v>complete...11</v>
      </c>
      <c r="D1567" s="339"/>
      <c r="F1567" s="340"/>
    </row>
    <row r="1568" hidden="1">
      <c r="B1568" s="339"/>
      <c r="C1568" s="86" t="str">
        <f t="shared" si="42"/>
        <v>complete...12</v>
      </c>
      <c r="D1568" s="339"/>
      <c r="F1568" s="340"/>
    </row>
    <row r="1569" hidden="1">
      <c r="B1569" s="339"/>
      <c r="C1569" s="86" t="str">
        <f t="shared" si="42"/>
        <v>complete...13</v>
      </c>
      <c r="D1569" s="339"/>
      <c r="F1569" s="340"/>
    </row>
    <row r="1570" hidden="1">
      <c r="B1570" s="339"/>
      <c r="C1570" s="86" t="str">
        <f t="shared" si="42"/>
        <v>complete...14</v>
      </c>
      <c r="D1570" s="339"/>
      <c r="F1570" s="340"/>
    </row>
    <row r="1571" hidden="1">
      <c r="B1571" s="339"/>
      <c r="C1571" s="86" t="str">
        <f t="shared" si="42"/>
        <v>complete</v>
      </c>
      <c r="D1571" s="339"/>
      <c r="F1571" s="340"/>
    </row>
    <row r="1572" hidden="1">
      <c r="B1572" s="339"/>
      <c r="C1572" s="86" t="str">
        <f t="shared" si="42"/>
        <v>complete</v>
      </c>
      <c r="D1572" s="339"/>
      <c r="F1572" s="340"/>
    </row>
    <row r="1573" hidden="1">
      <c r="B1573" s="339"/>
      <c r="C1573" s="86" t="str">
        <f t="shared" si="42"/>
        <v>complete</v>
      </c>
      <c r="D1573" s="339"/>
      <c r="F1573" s="340"/>
    </row>
    <row r="1574" hidden="1">
      <c r="B1574" s="339"/>
      <c r="C1574" s="86" t="str">
        <f t="shared" si="42"/>
        <v>complete</v>
      </c>
      <c r="D1574" s="339"/>
      <c r="F1574" s="340"/>
    </row>
    <row r="1575" hidden="1">
      <c r="B1575" s="339"/>
      <c r="C1575" s="86" t="str">
        <f t="shared" si="42"/>
        <v>complete</v>
      </c>
      <c r="D1575" s="339"/>
      <c r="F1575" s="340"/>
    </row>
    <row r="1576" hidden="1">
      <c r="B1576" s="339"/>
      <c r="C1576" s="86" t="str">
        <f t="shared" si="42"/>
        <v>complete</v>
      </c>
      <c r="D1576" s="339"/>
      <c r="F1576" s="340"/>
    </row>
    <row r="1577" hidden="1">
      <c r="B1577" s="339"/>
      <c r="C1577" s="86" t="str">
        <f t="shared" si="42"/>
        <v>completeNick Name:Thuyet.Site</v>
      </c>
      <c r="D1577" s="339"/>
      <c r="F1577" s="340"/>
    </row>
    <row r="1578" hidden="1">
      <c r="B1578" s="339"/>
      <c r="C1578" s="86" t="str">
        <f t="shared" si="42"/>
        <v>completeFull Name:Thuyet.Site</v>
      </c>
      <c r="D1578" s="339"/>
      <c r="F1578" s="340"/>
    </row>
    <row r="1579" hidden="1">
      <c r="B1579" s="339"/>
      <c r="C1579" s="86" t="str">
        <f t="shared" si="42"/>
        <v>completePosition:Thuyet.Site</v>
      </c>
      <c r="D1579" s="339"/>
      <c r="F1579" s="340"/>
    </row>
    <row r="1580" hidden="1">
      <c r="B1580" s="339"/>
      <c r="C1580" s="86" t="str">
        <f t="shared" si="42"/>
        <v>completeBirth:Thuyet.Site</v>
      </c>
      <c r="D1580" s="339"/>
      <c r="F1580" s="340"/>
    </row>
    <row r="1581" hidden="1">
      <c r="B1581" s="339"/>
      <c r="C1581" s="86" t="str">
        <f t="shared" si="42"/>
        <v>completeExperience:Thuyet.Site</v>
      </c>
      <c r="D1581" s="339"/>
      <c r="F1581" s="340"/>
    </row>
    <row r="1582" hidden="1">
      <c r="B1582" s="339"/>
      <c r="C1582" s="86" t="str">
        <f t="shared" si="42"/>
        <v>completeQuote:Thuyet.Site</v>
      </c>
      <c r="D1582" s="339"/>
      <c r="F1582" s="340"/>
    </row>
    <row r="1583" hidden="1">
      <c r="B1583" s="339"/>
      <c r="C1583" s="86" t="str">
        <f t="shared" si="42"/>
        <v>complete</v>
      </c>
      <c r="D1583" s="339"/>
      <c r="F1583" s="340"/>
    </row>
    <row r="1584" hidden="1">
      <c r="B1584" s="339"/>
      <c r="C1584" s="86" t="str">
        <f t="shared" si="42"/>
        <v>complete</v>
      </c>
      <c r="D1584" s="339"/>
      <c r="F1584" s="340"/>
    </row>
    <row r="1585" hidden="1">
      <c r="B1585" s="339"/>
      <c r="C1585" s="86" t="str">
        <f t="shared" si="42"/>
        <v>complete❤️️Thuyet.Site</v>
      </c>
      <c r="D1585" s="339"/>
      <c r="F1585" s="340"/>
    </row>
    <row r="1586" hidden="1">
      <c r="B1586" s="339"/>
      <c r="C1586" s="86" t="str">
        <f t="shared" si="42"/>
        <v>complete</v>
      </c>
      <c r="D1586" s="339"/>
      <c r="F1586" s="340"/>
    </row>
    <row r="1587" hidden="1">
      <c r="B1587" s="339"/>
      <c r="C1587" s="86" t="str">
        <f t="shared" si="42"/>
        <v>complete</v>
      </c>
      <c r="D1587" s="339"/>
      <c r="F1587" s="340"/>
    </row>
    <row r="1588" hidden="1">
      <c r="B1588" s="339"/>
      <c r="C1588" s="86" t="str">
        <f t="shared" si="42"/>
        <v>completeThuyet.Site1</v>
      </c>
      <c r="D1588" s="339"/>
      <c r="F1588" s="340"/>
    </row>
    <row r="1589" hidden="1">
      <c r="B1589" s="339"/>
      <c r="C1589" s="86" t="str">
        <f t="shared" si="42"/>
        <v>completeThuyet.Site2</v>
      </c>
      <c r="D1589" s="339"/>
      <c r="F1589" s="340"/>
    </row>
    <row r="1590" hidden="1">
      <c r="B1590" s="339"/>
      <c r="C1590" s="86" t="str">
        <f t="shared" si="42"/>
        <v>completeThuyet.Site3</v>
      </c>
      <c r="D1590" s="339"/>
      <c r="F1590" s="340"/>
    </row>
    <row r="1591" hidden="1">
      <c r="B1591" s="339"/>
      <c r="C1591" s="86" t="str">
        <f t="shared" si="42"/>
        <v>completeThuyet.Site4</v>
      </c>
      <c r="D1591" s="339"/>
      <c r="F1591" s="340"/>
    </row>
    <row r="1592" hidden="1">
      <c r="B1592" s="339"/>
      <c r="C1592" s="86" t="str">
        <f t="shared" si="42"/>
        <v>completeThuyet.Site5</v>
      </c>
      <c r="D1592" s="339"/>
      <c r="F1592" s="340"/>
    </row>
    <row r="1593" hidden="1">
      <c r="B1593" s="339"/>
      <c r="C1593" s="86" t="str">
        <f t="shared" si="42"/>
        <v>completeThuyet.Site6</v>
      </c>
      <c r="D1593" s="339"/>
      <c r="F1593" s="340"/>
    </row>
    <row r="1594" hidden="1">
      <c r="B1594" s="339"/>
      <c r="C1594" s="86" t="str">
        <f t="shared" si="42"/>
        <v>completeThuyet.Site7</v>
      </c>
      <c r="D1594" s="339"/>
      <c r="F1594" s="340"/>
    </row>
    <row r="1595" hidden="1">
      <c r="B1595" s="339"/>
      <c r="C1595" s="86" t="str">
        <f t="shared" si="42"/>
        <v>completeThuyet.Site8</v>
      </c>
      <c r="D1595" s="339"/>
      <c r="F1595" s="340"/>
    </row>
    <row r="1596" hidden="1">
      <c r="B1596" s="339"/>
      <c r="C1596" s="86" t="str">
        <f t="shared" si="42"/>
        <v>completeThuyet.Site9</v>
      </c>
      <c r="D1596" s="339"/>
      <c r="F1596" s="340"/>
    </row>
    <row r="1597" hidden="1">
      <c r="B1597" s="339"/>
      <c r="C1597" s="86" t="str">
        <f t="shared" si="42"/>
        <v>completeThuyet.Site10</v>
      </c>
      <c r="D1597" s="339"/>
      <c r="F1597" s="340"/>
    </row>
    <row r="1598" hidden="1">
      <c r="B1598" s="339"/>
      <c r="C1598" s="86" t="str">
        <f t="shared" si="42"/>
        <v>completeThuyet.Site11</v>
      </c>
      <c r="D1598" s="339"/>
      <c r="F1598" s="340"/>
    </row>
    <row r="1599" hidden="1">
      <c r="B1599" s="339"/>
      <c r="C1599" s="86" t="str">
        <f t="shared" si="42"/>
        <v>completeThuyet.Site12</v>
      </c>
      <c r="D1599" s="339"/>
      <c r="F1599" s="340"/>
    </row>
    <row r="1600" hidden="1">
      <c r="B1600" s="339"/>
      <c r="C1600" s="86" t="str">
        <f t="shared" si="42"/>
        <v>completeThuyet.Site13</v>
      </c>
      <c r="D1600" s="339"/>
      <c r="F1600" s="340"/>
    </row>
    <row r="1601" hidden="1">
      <c r="B1601" s="339"/>
      <c r="C1601" s="86" t="str">
        <f t="shared" si="42"/>
        <v>completeThuyet.Site14</v>
      </c>
      <c r="D1601" s="339"/>
      <c r="F1601" s="340"/>
    </row>
    <row r="1602" hidden="1">
      <c r="B1602" s="339"/>
      <c r="C1602" s="86" t="str">
        <f t="shared" si="42"/>
        <v>complete</v>
      </c>
      <c r="D1602" s="339"/>
      <c r="F1602" s="340"/>
    </row>
    <row r="1603" hidden="1">
      <c r="B1603" s="339"/>
      <c r="C1603" s="86" t="str">
        <f t="shared" si="42"/>
        <v>complete</v>
      </c>
      <c r="D1603" s="339"/>
      <c r="F1603" s="340"/>
    </row>
    <row r="1604" hidden="1">
      <c r="B1604" s="339"/>
      <c r="C1604" s="86" t="str">
        <f t="shared" si="42"/>
        <v>complete</v>
      </c>
      <c r="D1604" s="339"/>
      <c r="F1604" s="340"/>
    </row>
    <row r="1605" hidden="1">
      <c r="B1605" s="339"/>
      <c r="C1605" s="86" t="str">
        <f t="shared" si="42"/>
        <v>complete</v>
      </c>
      <c r="D1605" s="339"/>
      <c r="F1605" s="340"/>
    </row>
    <row r="1606" hidden="1">
      <c r="B1606" s="339"/>
      <c r="C1606" s="86" t="str">
        <f t="shared" si="42"/>
        <v>complete</v>
      </c>
      <c r="D1606" s="339"/>
      <c r="F1606" s="340"/>
    </row>
    <row r="1607" hidden="1">
      <c r="B1607" s="339"/>
      <c r="C1607" s="86" t="str">
        <f t="shared" si="42"/>
        <v>completeNick Name:...</v>
      </c>
      <c r="D1607" s="339"/>
      <c r="F1607" s="340"/>
    </row>
    <row r="1608" hidden="1">
      <c r="B1608" s="339"/>
      <c r="C1608" s="86" t="str">
        <f t="shared" si="42"/>
        <v>completeFull Name:...</v>
      </c>
      <c r="D1608" s="339"/>
      <c r="F1608" s="340"/>
    </row>
    <row r="1609" hidden="1">
      <c r="B1609" s="339"/>
      <c r="C1609" s="86" t="str">
        <f t="shared" si="42"/>
        <v>completePosition:...</v>
      </c>
      <c r="D1609" s="339"/>
      <c r="F1609" s="340"/>
    </row>
    <row r="1610" hidden="1">
      <c r="B1610" s="339"/>
      <c r="C1610" s="86" t="str">
        <f t="shared" si="42"/>
        <v>completeBirth:...</v>
      </c>
      <c r="D1610" s="339"/>
      <c r="F1610" s="340"/>
    </row>
    <row r="1611" hidden="1">
      <c r="B1611" s="339"/>
      <c r="C1611" s="86" t="str">
        <f t="shared" si="42"/>
        <v>completeExperience:...</v>
      </c>
      <c r="D1611" s="339"/>
      <c r="F1611" s="340"/>
    </row>
    <row r="1612" hidden="1">
      <c r="B1612" s="339"/>
      <c r="C1612" s="86" t="str">
        <f t="shared" si="42"/>
        <v>completeQuote:...</v>
      </c>
      <c r="D1612" s="339"/>
      <c r="F1612" s="340"/>
    </row>
    <row r="1613" hidden="1">
      <c r="B1613" s="339"/>
      <c r="C1613" s="86" t="str">
        <f t="shared" si="42"/>
        <v>complete</v>
      </c>
      <c r="D1613" s="339"/>
      <c r="F1613" s="340"/>
    </row>
    <row r="1614" hidden="1">
      <c r="B1614" s="339"/>
      <c r="C1614" s="86" t="str">
        <f t="shared" si="42"/>
        <v>complete</v>
      </c>
      <c r="D1614" s="339"/>
      <c r="F1614" s="340"/>
    </row>
    <row r="1615" hidden="1">
      <c r="B1615" s="339"/>
      <c r="C1615" s="86" t="str">
        <f t="shared" si="42"/>
        <v>complete❤️️...</v>
      </c>
      <c r="D1615" s="339"/>
      <c r="F1615" s="340"/>
    </row>
    <row r="1616" hidden="1">
      <c r="B1616" s="339"/>
      <c r="C1616" s="86" t="str">
        <f t="shared" si="42"/>
        <v>complete</v>
      </c>
      <c r="D1616" s="339"/>
      <c r="F1616" s="340"/>
    </row>
    <row r="1617" hidden="1">
      <c r="B1617" s="339"/>
      <c r="C1617" s="86" t="str">
        <f t="shared" si="42"/>
        <v>complete</v>
      </c>
      <c r="D1617" s="339"/>
      <c r="F1617" s="340"/>
    </row>
    <row r="1618" hidden="1">
      <c r="B1618" s="339"/>
      <c r="C1618" s="86" t="str">
        <f t="shared" si="42"/>
        <v>complete...1</v>
      </c>
      <c r="D1618" s="339"/>
      <c r="F1618" s="340"/>
    </row>
    <row r="1619" hidden="1">
      <c r="B1619" s="339"/>
      <c r="C1619" s="86" t="str">
        <f t="shared" si="42"/>
        <v>complete...2</v>
      </c>
      <c r="D1619" s="339"/>
      <c r="F1619" s="340"/>
    </row>
    <row r="1620" hidden="1">
      <c r="B1620" s="339"/>
      <c r="C1620" s="86" t="str">
        <f t="shared" si="42"/>
        <v>complete...3</v>
      </c>
      <c r="D1620" s="339"/>
      <c r="F1620" s="340"/>
    </row>
    <row r="1621" hidden="1">
      <c r="B1621" s="339"/>
      <c r="C1621" s="86" t="str">
        <f t="shared" si="42"/>
        <v>complete...4</v>
      </c>
      <c r="D1621" s="339"/>
      <c r="F1621" s="340"/>
    </row>
    <row r="1622" hidden="1">
      <c r="B1622" s="339"/>
      <c r="C1622" s="86" t="str">
        <f t="shared" si="42"/>
        <v>complete...5</v>
      </c>
      <c r="D1622" s="339"/>
      <c r="F1622" s="340"/>
    </row>
    <row r="1623" hidden="1">
      <c r="B1623" s="339"/>
      <c r="C1623" s="86" t="str">
        <f t="shared" si="42"/>
        <v>complete...6</v>
      </c>
      <c r="D1623" s="339"/>
      <c r="F1623" s="340"/>
    </row>
    <row r="1624" hidden="1">
      <c r="B1624" s="339"/>
      <c r="C1624" s="86" t="str">
        <f t="shared" si="42"/>
        <v>complete...7</v>
      </c>
      <c r="D1624" s="339"/>
      <c r="F1624" s="340"/>
    </row>
    <row r="1625" hidden="1">
      <c r="B1625" s="339"/>
      <c r="C1625" s="86" t="str">
        <f t="shared" si="42"/>
        <v>complete...8</v>
      </c>
      <c r="D1625" s="339"/>
      <c r="F1625" s="340"/>
    </row>
    <row r="1626" hidden="1">
      <c r="B1626" s="339"/>
      <c r="C1626" s="86" t="str">
        <f t="shared" si="42"/>
        <v>complete...9</v>
      </c>
      <c r="D1626" s="339"/>
      <c r="F1626" s="340"/>
    </row>
    <row r="1627" hidden="1">
      <c r="B1627" s="339"/>
      <c r="C1627" s="86" t="str">
        <f t="shared" si="42"/>
        <v>complete...10</v>
      </c>
      <c r="D1627" s="339"/>
      <c r="F1627" s="340"/>
    </row>
    <row r="1628" hidden="1">
      <c r="B1628" s="339"/>
      <c r="C1628" s="86" t="str">
        <f t="shared" si="42"/>
        <v>complete...11</v>
      </c>
      <c r="D1628" s="339"/>
      <c r="F1628" s="340"/>
    </row>
    <row r="1629" hidden="1">
      <c r="B1629" s="339"/>
      <c r="C1629" s="86" t="str">
        <f t="shared" si="42"/>
        <v>complete...12</v>
      </c>
      <c r="D1629" s="339"/>
      <c r="F1629" s="340"/>
    </row>
    <row r="1630" hidden="1">
      <c r="B1630" s="339"/>
      <c r="C1630" s="86" t="str">
        <f t="shared" si="42"/>
        <v>complete...13</v>
      </c>
      <c r="D1630" s="339"/>
      <c r="F1630" s="340"/>
    </row>
    <row r="1631" hidden="1">
      <c r="B1631" s="339"/>
      <c r="C1631" s="86" t="str">
        <f t="shared" si="42"/>
        <v>complete...14</v>
      </c>
      <c r="D1631" s="339"/>
      <c r="F1631" s="340"/>
    </row>
    <row r="1632" hidden="1">
      <c r="B1632" s="339"/>
      <c r="C1632" s="86" t="str">
        <f t="shared" si="42"/>
        <v>complete</v>
      </c>
      <c r="D1632" s="339"/>
      <c r="F1632" s="340"/>
    </row>
    <row r="1633" hidden="1">
      <c r="B1633" s="339"/>
      <c r="C1633" s="86" t="str">
        <f t="shared" si="42"/>
        <v>complete</v>
      </c>
      <c r="D1633" s="339"/>
      <c r="F1633" s="340"/>
    </row>
    <row r="1634" hidden="1">
      <c r="B1634" s="339"/>
      <c r="C1634" s="86" t="str">
        <f t="shared" si="42"/>
        <v>complete</v>
      </c>
      <c r="D1634" s="339"/>
      <c r="F1634" s="340"/>
    </row>
    <row r="1635" hidden="1">
      <c r="B1635" s="339"/>
      <c r="C1635" s="86" t="str">
        <f t="shared" si="42"/>
        <v>complete</v>
      </c>
      <c r="D1635" s="339"/>
      <c r="F1635" s="340"/>
    </row>
    <row r="1636" hidden="1">
      <c r="B1636" s="339"/>
      <c r="C1636" s="86" t="str">
        <f t="shared" si="42"/>
        <v>complete</v>
      </c>
      <c r="D1636" s="339"/>
      <c r="F1636" s="340"/>
    </row>
    <row r="1637" hidden="1">
      <c r="B1637" s="339"/>
      <c r="C1637" s="86" t="str">
        <f t="shared" si="42"/>
        <v>completeNick Name:...</v>
      </c>
      <c r="D1637" s="339"/>
      <c r="F1637" s="340"/>
    </row>
    <row r="1638" hidden="1">
      <c r="B1638" s="339"/>
      <c r="C1638" s="86" t="str">
        <f t="shared" si="42"/>
        <v>completeFull Name:...</v>
      </c>
      <c r="D1638" s="339"/>
      <c r="F1638" s="340"/>
    </row>
    <row r="1639" hidden="1">
      <c r="B1639" s="339"/>
      <c r="C1639" s="86" t="str">
        <f t="shared" si="42"/>
        <v>completePosition:...</v>
      </c>
      <c r="D1639" s="339"/>
      <c r="F1639" s="340"/>
    </row>
    <row r="1640" hidden="1">
      <c r="B1640" s="339"/>
      <c r="C1640" s="86" t="str">
        <f t="shared" si="42"/>
        <v>completeBirth:...</v>
      </c>
      <c r="D1640" s="339"/>
      <c r="F1640" s="340"/>
    </row>
    <row r="1641" hidden="1">
      <c r="B1641" s="339"/>
      <c r="C1641" s="86" t="str">
        <f t="shared" si="42"/>
        <v>completeExperience:...</v>
      </c>
      <c r="D1641" s="339"/>
      <c r="F1641" s="340"/>
    </row>
    <row r="1642" hidden="1">
      <c r="B1642" s="339"/>
      <c r="C1642" s="86" t="str">
        <f t="shared" si="42"/>
        <v>completeQuote:...</v>
      </c>
      <c r="D1642" s="339"/>
      <c r="F1642" s="340"/>
    </row>
    <row r="1643" hidden="1">
      <c r="B1643" s="339"/>
      <c r="C1643" s="86" t="str">
        <f t="shared" si="42"/>
        <v>complete</v>
      </c>
      <c r="D1643" s="339"/>
      <c r="F1643" s="340"/>
    </row>
    <row r="1644" hidden="1">
      <c r="B1644" s="339"/>
      <c r="C1644" s="86" t="str">
        <f t="shared" si="42"/>
        <v>complete</v>
      </c>
      <c r="D1644" s="339"/>
      <c r="F1644" s="340"/>
    </row>
    <row r="1645" hidden="1">
      <c r="B1645" s="339"/>
      <c r="C1645" s="86" t="str">
        <f t="shared" si="42"/>
        <v>complete❤️️...</v>
      </c>
      <c r="D1645" s="339"/>
      <c r="F1645" s="340"/>
    </row>
    <row r="1646" hidden="1">
      <c r="B1646" s="339"/>
      <c r="C1646" s="86" t="str">
        <f t="shared" si="42"/>
        <v>complete</v>
      </c>
      <c r="D1646" s="339"/>
      <c r="F1646" s="340"/>
    </row>
    <row r="1647" hidden="1">
      <c r="B1647" s="339"/>
      <c r="C1647" s="86" t="str">
        <f t="shared" si="42"/>
        <v>complete</v>
      </c>
      <c r="D1647" s="339"/>
      <c r="F1647" s="340"/>
    </row>
    <row r="1648" hidden="1">
      <c r="B1648" s="339"/>
      <c r="C1648" s="86" t="str">
        <f t="shared" si="42"/>
        <v>complete...1</v>
      </c>
      <c r="D1648" s="339"/>
      <c r="F1648" s="340"/>
    </row>
    <row r="1649" hidden="1">
      <c r="B1649" s="339"/>
      <c r="C1649" s="86" t="str">
        <f t="shared" si="42"/>
        <v>complete...2</v>
      </c>
      <c r="D1649" s="339"/>
      <c r="F1649" s="340"/>
    </row>
    <row r="1650" hidden="1">
      <c r="B1650" s="339"/>
      <c r="C1650" s="86" t="str">
        <f t="shared" si="42"/>
        <v>complete...3</v>
      </c>
      <c r="D1650" s="339"/>
      <c r="F1650" s="340"/>
    </row>
    <row r="1651" hidden="1">
      <c r="B1651" s="339"/>
      <c r="C1651" s="86" t="str">
        <f t="shared" si="42"/>
        <v>complete...4</v>
      </c>
      <c r="D1651" s="339"/>
      <c r="F1651" s="340"/>
    </row>
    <row r="1652" hidden="1">
      <c r="B1652" s="339"/>
      <c r="C1652" s="86" t="str">
        <f t="shared" si="42"/>
        <v>complete...5</v>
      </c>
      <c r="D1652" s="339"/>
      <c r="F1652" s="340"/>
    </row>
    <row r="1653" hidden="1">
      <c r="B1653" s="339"/>
      <c r="C1653" s="86" t="str">
        <f t="shared" si="42"/>
        <v>complete...6</v>
      </c>
      <c r="D1653" s="339"/>
      <c r="F1653" s="340"/>
    </row>
    <row r="1654" hidden="1">
      <c r="B1654" s="339"/>
      <c r="C1654" s="86" t="str">
        <f t="shared" si="42"/>
        <v>complete...7</v>
      </c>
      <c r="D1654" s="339"/>
      <c r="F1654" s="340"/>
    </row>
    <row r="1655" hidden="1">
      <c r="B1655" s="339"/>
      <c r="C1655" s="86" t="str">
        <f t="shared" si="42"/>
        <v>complete...8</v>
      </c>
      <c r="D1655" s="339"/>
      <c r="F1655" s="340"/>
    </row>
    <row r="1656" hidden="1">
      <c r="B1656" s="339"/>
      <c r="C1656" s="86" t="str">
        <f t="shared" si="42"/>
        <v>complete...9</v>
      </c>
      <c r="D1656" s="339"/>
      <c r="F1656" s="340"/>
    </row>
    <row r="1657" hidden="1">
      <c r="B1657" s="339"/>
      <c r="C1657" s="86" t="str">
        <f t="shared" si="42"/>
        <v>complete...10</v>
      </c>
      <c r="D1657" s="339"/>
      <c r="F1657" s="340"/>
    </row>
    <row r="1658" hidden="1">
      <c r="B1658" s="339"/>
      <c r="C1658" s="86" t="str">
        <f t="shared" si="42"/>
        <v>complete...11</v>
      </c>
      <c r="D1658" s="339"/>
      <c r="F1658" s="340"/>
    </row>
    <row r="1659" hidden="1">
      <c r="B1659" s="339"/>
      <c r="C1659" s="86" t="str">
        <f t="shared" si="42"/>
        <v>complete...12</v>
      </c>
      <c r="D1659" s="339"/>
      <c r="F1659" s="340"/>
    </row>
    <row r="1660" hidden="1">
      <c r="B1660" s="339"/>
      <c r="C1660" s="86" t="str">
        <f t="shared" si="42"/>
        <v>complete...13</v>
      </c>
      <c r="D1660" s="339"/>
      <c r="F1660" s="340"/>
    </row>
    <row r="1661" hidden="1">
      <c r="B1661" s="339"/>
      <c r="C1661" s="86" t="str">
        <f t="shared" si="42"/>
        <v>complete...14</v>
      </c>
      <c r="D1661" s="339"/>
      <c r="F1661" s="340"/>
    </row>
    <row r="1662" hidden="1">
      <c r="B1662" s="339"/>
      <c r="C1662" s="86" t="str">
        <f t="shared" si="42"/>
        <v>complete...</v>
      </c>
      <c r="D1662" s="339"/>
      <c r="F1662" s="340"/>
    </row>
    <row r="1663" hidden="1">
      <c r="B1663" s="339"/>
      <c r="C1663" s="86" t="str">
        <f t="shared" si="42"/>
        <v>complete</v>
      </c>
      <c r="D1663" s="339"/>
      <c r="F1663" s="340"/>
    </row>
    <row r="1664" hidden="1">
      <c r="B1664" s="339"/>
      <c r="C1664" s="86" t="str">
        <f t="shared" si="42"/>
        <v>complete</v>
      </c>
      <c r="D1664" s="339"/>
      <c r="F1664" s="340"/>
    </row>
    <row r="1665" hidden="1">
      <c r="B1665" s="339"/>
      <c r="C1665" s="86" t="str">
        <f t="shared" si="42"/>
        <v>complete</v>
      </c>
      <c r="D1665" s="339"/>
      <c r="F1665" s="340"/>
    </row>
    <row r="1666" hidden="1">
      <c r="B1666" s="339"/>
      <c r="C1666" s="86" t="str">
        <f t="shared" si="42"/>
        <v>complete</v>
      </c>
      <c r="D1666" s="339"/>
      <c r="F1666" s="340"/>
    </row>
    <row r="1667" hidden="1">
      <c r="B1667" s="339"/>
      <c r="C1667" s="86" t="str">
        <f t="shared" si="42"/>
        <v>complete</v>
      </c>
      <c r="D1667" s="339"/>
      <c r="F1667" s="340"/>
    </row>
    <row r="1668" hidden="1">
      <c r="B1668" s="339"/>
      <c r="C1668" s="86" t="str">
        <f t="shared" si="42"/>
        <v>completeNick Name:Mr Park.Site</v>
      </c>
      <c r="D1668" s="339"/>
      <c r="F1668" s="340"/>
    </row>
    <row r="1669" hidden="1">
      <c r="B1669" s="339"/>
      <c r="C1669" s="86" t="str">
        <f t="shared" si="42"/>
        <v>completeFull Name:Mr Park.Site</v>
      </c>
      <c r="D1669" s="339"/>
      <c r="F1669" s="340"/>
    </row>
    <row r="1670" hidden="1">
      <c r="B1670" s="339"/>
      <c r="C1670" s="86" t="str">
        <f t="shared" si="42"/>
        <v>completePosition:Mr Park.Site</v>
      </c>
      <c r="D1670" s="339"/>
      <c r="F1670" s="340"/>
    </row>
    <row r="1671" hidden="1">
      <c r="B1671" s="339"/>
      <c r="C1671" s="86" t="str">
        <f t="shared" si="42"/>
        <v>completeBirth:Mr Park.Site</v>
      </c>
      <c r="D1671" s="339"/>
      <c r="F1671" s="340"/>
    </row>
    <row r="1672" hidden="1">
      <c r="B1672" s="339"/>
      <c r="C1672" s="86" t="str">
        <f t="shared" si="42"/>
        <v>completeExperience:Mr Park.Site</v>
      </c>
      <c r="D1672" s="339"/>
      <c r="F1672" s="340"/>
    </row>
    <row r="1673" hidden="1">
      <c r="B1673" s="339"/>
      <c r="C1673" s="86" t="str">
        <f t="shared" si="42"/>
        <v>completeQuote:Mr Park.Site</v>
      </c>
      <c r="D1673" s="339"/>
      <c r="F1673" s="340"/>
    </row>
    <row r="1674" hidden="1">
      <c r="B1674" s="339"/>
      <c r="C1674" s="86" t="str">
        <f t="shared" si="42"/>
        <v>complete</v>
      </c>
      <c r="D1674" s="339"/>
      <c r="F1674" s="340"/>
    </row>
    <row r="1675" hidden="1">
      <c r="B1675" s="339"/>
      <c r="C1675" s="86" t="str">
        <f t="shared" si="42"/>
        <v>complete</v>
      </c>
      <c r="D1675" s="339"/>
      <c r="F1675" s="340"/>
    </row>
    <row r="1676" hidden="1">
      <c r="B1676" s="339"/>
      <c r="C1676" s="86" t="str">
        <f t="shared" si="42"/>
        <v>complete❤️️Mr Park.Site</v>
      </c>
      <c r="D1676" s="339"/>
      <c r="F1676" s="340"/>
    </row>
    <row r="1677" hidden="1">
      <c r="B1677" s="339"/>
      <c r="C1677" s="86" t="str">
        <f t="shared" si="42"/>
        <v>complete</v>
      </c>
      <c r="D1677" s="339"/>
      <c r="F1677" s="340"/>
    </row>
    <row r="1678" hidden="1">
      <c r="B1678" s="339"/>
      <c r="C1678" s="86" t="str">
        <f t="shared" si="42"/>
        <v>complete</v>
      </c>
      <c r="D1678" s="339"/>
      <c r="F1678" s="340"/>
    </row>
    <row r="1679" hidden="1">
      <c r="B1679" s="339"/>
      <c r="C1679" s="86" t="str">
        <f t="shared" si="42"/>
        <v>completeMr Park.Site1</v>
      </c>
      <c r="D1679" s="339"/>
      <c r="F1679" s="340"/>
    </row>
    <row r="1680" hidden="1">
      <c r="B1680" s="339"/>
      <c r="C1680" s="86" t="str">
        <f t="shared" si="42"/>
        <v>completeMr Park.Site2</v>
      </c>
      <c r="D1680" s="339"/>
      <c r="F1680" s="340"/>
    </row>
    <row r="1681" hidden="1">
      <c r="B1681" s="339"/>
      <c r="C1681" s="86" t="str">
        <f t="shared" si="42"/>
        <v>completeMr Park.Site3</v>
      </c>
      <c r="D1681" s="339"/>
      <c r="F1681" s="340"/>
    </row>
    <row r="1682" hidden="1">
      <c r="B1682" s="339"/>
      <c r="C1682" s="86" t="str">
        <f t="shared" si="42"/>
        <v>completeMr Park.Site4</v>
      </c>
      <c r="D1682" s="339"/>
      <c r="F1682" s="340"/>
    </row>
    <row r="1683" hidden="1">
      <c r="B1683" s="339"/>
      <c r="C1683" s="86" t="str">
        <f t="shared" si="42"/>
        <v>completeMr Park.Site5</v>
      </c>
      <c r="D1683" s="339"/>
      <c r="F1683" s="340"/>
    </row>
    <row r="1684" hidden="1">
      <c r="B1684" s="339"/>
      <c r="C1684" s="86" t="str">
        <f t="shared" si="42"/>
        <v>completeMr Park.Site6</v>
      </c>
      <c r="D1684" s="339"/>
      <c r="F1684" s="340"/>
    </row>
    <row r="1685" hidden="1">
      <c r="B1685" s="339"/>
      <c r="C1685" s="86" t="str">
        <f t="shared" si="42"/>
        <v>completeMr Park.Site7</v>
      </c>
      <c r="D1685" s="339"/>
      <c r="F1685" s="340"/>
    </row>
    <row r="1686" hidden="1">
      <c r="B1686" s="339"/>
      <c r="C1686" s="86" t="str">
        <f t="shared" si="42"/>
        <v>completeMr Park.Site8</v>
      </c>
      <c r="D1686" s="339"/>
      <c r="F1686" s="340"/>
    </row>
    <row r="1687" hidden="1">
      <c r="B1687" s="339"/>
      <c r="C1687" s="86" t="str">
        <f t="shared" si="42"/>
        <v>completeMr Park.Site9</v>
      </c>
      <c r="D1687" s="339"/>
      <c r="F1687" s="340"/>
    </row>
    <row r="1688" hidden="1">
      <c r="B1688" s="339"/>
      <c r="C1688" s="86" t="str">
        <f t="shared" si="42"/>
        <v>completeMr Park.Site10</v>
      </c>
      <c r="D1688" s="339"/>
      <c r="F1688" s="340"/>
    </row>
    <row r="1689" hidden="1">
      <c r="B1689" s="339"/>
      <c r="C1689" s="86" t="str">
        <f t="shared" si="42"/>
        <v>completeMr Park.Site11</v>
      </c>
      <c r="D1689" s="339"/>
      <c r="F1689" s="340"/>
    </row>
    <row r="1690" hidden="1">
      <c r="B1690" s="339"/>
      <c r="C1690" s="86" t="str">
        <f t="shared" si="42"/>
        <v>completeMr Park.Site12</v>
      </c>
      <c r="D1690" s="339"/>
      <c r="F1690" s="340"/>
    </row>
    <row r="1691" hidden="1">
      <c r="B1691" s="339"/>
      <c r="C1691" s="86" t="str">
        <f t="shared" si="42"/>
        <v>completeMr Park.Site13</v>
      </c>
      <c r="D1691" s="339"/>
      <c r="F1691" s="340"/>
    </row>
    <row r="1692" hidden="1">
      <c r="B1692" s="339"/>
      <c r="C1692" s="86" t="str">
        <f t="shared" si="42"/>
        <v>completeMr Park.Site14</v>
      </c>
      <c r="D1692" s="339"/>
      <c r="F1692" s="340"/>
    </row>
    <row r="1693" hidden="1">
      <c r="B1693" s="339"/>
      <c r="C1693" s="86" t="str">
        <f t="shared" si="42"/>
        <v>complete</v>
      </c>
      <c r="D1693" s="339"/>
      <c r="F1693" s="340"/>
    </row>
    <row r="1694" hidden="1">
      <c r="B1694" s="339"/>
      <c r="C1694" s="86" t="str">
        <f t="shared" si="42"/>
        <v>complete</v>
      </c>
      <c r="D1694" s="339"/>
      <c r="F1694" s="340"/>
    </row>
    <row r="1695" hidden="1">
      <c r="B1695" s="339"/>
      <c r="C1695" s="86" t="str">
        <f t="shared" si="42"/>
        <v>complete</v>
      </c>
      <c r="D1695" s="339"/>
      <c r="F1695" s="340"/>
    </row>
    <row r="1696" hidden="1">
      <c r="B1696" s="339"/>
      <c r="C1696" s="86" t="str">
        <f t="shared" si="42"/>
        <v>complete</v>
      </c>
      <c r="D1696" s="339"/>
      <c r="F1696" s="340"/>
    </row>
    <row r="1697" hidden="1">
      <c r="B1697" s="339"/>
      <c r="C1697" s="86" t="str">
        <f t="shared" si="42"/>
        <v>complete</v>
      </c>
      <c r="D1697" s="339"/>
      <c r="F1697" s="340"/>
    </row>
    <row r="1698" hidden="1">
      <c r="B1698" s="339"/>
      <c r="C1698" s="86" t="str">
        <f t="shared" si="42"/>
        <v>completeNick Name:Ha.Site</v>
      </c>
      <c r="D1698" s="339"/>
      <c r="F1698" s="340"/>
    </row>
    <row r="1699" hidden="1">
      <c r="B1699" s="339"/>
      <c r="C1699" s="86" t="str">
        <f t="shared" si="42"/>
        <v>completeFull Name:Ha.Site</v>
      </c>
      <c r="D1699" s="339"/>
      <c r="F1699" s="340"/>
    </row>
    <row r="1700" hidden="1">
      <c r="B1700" s="339"/>
      <c r="C1700" s="86" t="str">
        <f t="shared" si="42"/>
        <v>completePosition:Ha.Site</v>
      </c>
      <c r="D1700" s="339"/>
      <c r="F1700" s="340"/>
    </row>
    <row r="1701" hidden="1">
      <c r="B1701" s="339"/>
      <c r="C1701" s="86" t="str">
        <f t="shared" si="42"/>
        <v>completeBirth:Ha.Site</v>
      </c>
      <c r="D1701" s="339"/>
      <c r="F1701" s="340"/>
    </row>
    <row r="1702" hidden="1">
      <c r="B1702" s="339"/>
      <c r="C1702" s="86" t="str">
        <f t="shared" si="42"/>
        <v>completeExperience:Ha.Site</v>
      </c>
      <c r="D1702" s="339"/>
      <c r="F1702" s="340"/>
    </row>
    <row r="1703" hidden="1">
      <c r="B1703" s="339"/>
      <c r="C1703" s="86" t="str">
        <f t="shared" si="42"/>
        <v>completeQuote:Ha.Site</v>
      </c>
      <c r="D1703" s="339"/>
      <c r="F1703" s="340"/>
    </row>
    <row r="1704" hidden="1">
      <c r="B1704" s="339"/>
      <c r="C1704" s="86" t="str">
        <f t="shared" si="42"/>
        <v>complete</v>
      </c>
      <c r="D1704" s="339"/>
      <c r="F1704" s="340"/>
    </row>
    <row r="1705" hidden="1">
      <c r="B1705" s="339"/>
      <c r="C1705" s="86" t="str">
        <f t="shared" si="42"/>
        <v>complete</v>
      </c>
      <c r="D1705" s="339"/>
      <c r="F1705" s="340"/>
    </row>
    <row r="1706" hidden="1">
      <c r="B1706" s="339"/>
      <c r="C1706" s="86" t="str">
        <f t="shared" si="42"/>
        <v>complete❤️️Ha.Site</v>
      </c>
      <c r="D1706" s="339"/>
      <c r="F1706" s="340"/>
    </row>
    <row r="1707" hidden="1">
      <c r="B1707" s="339"/>
      <c r="C1707" s="86" t="str">
        <f t="shared" si="42"/>
        <v>complete</v>
      </c>
      <c r="D1707" s="339"/>
      <c r="F1707" s="340"/>
    </row>
    <row r="1708" hidden="1">
      <c r="B1708" s="339"/>
      <c r="C1708" s="86" t="str">
        <f t="shared" si="42"/>
        <v>complete</v>
      </c>
      <c r="D1708" s="339"/>
      <c r="F1708" s="340"/>
    </row>
    <row r="1709" hidden="1">
      <c r="B1709" s="339"/>
      <c r="C1709" s="86" t="str">
        <f t="shared" si="42"/>
        <v>completeHa.Site1</v>
      </c>
      <c r="D1709" s="339"/>
      <c r="F1709" s="340"/>
    </row>
    <row r="1710" hidden="1">
      <c r="B1710" s="339"/>
      <c r="C1710" s="86" t="str">
        <f t="shared" si="42"/>
        <v>completeHa.Site2</v>
      </c>
      <c r="D1710" s="339"/>
      <c r="F1710" s="340"/>
    </row>
    <row r="1711" hidden="1">
      <c r="B1711" s="339"/>
      <c r="C1711" s="86" t="str">
        <f t="shared" si="42"/>
        <v>completeHa.Site3</v>
      </c>
      <c r="D1711" s="339"/>
      <c r="F1711" s="340"/>
    </row>
    <row r="1712" hidden="1">
      <c r="B1712" s="339"/>
      <c r="C1712" s="86" t="str">
        <f t="shared" si="42"/>
        <v>completeHa.Site4</v>
      </c>
      <c r="D1712" s="339"/>
      <c r="F1712" s="340"/>
    </row>
    <row r="1713" hidden="1">
      <c r="B1713" s="339"/>
      <c r="C1713" s="86" t="str">
        <f t="shared" si="42"/>
        <v>completeHa.Site5</v>
      </c>
      <c r="D1713" s="339"/>
      <c r="F1713" s="340"/>
    </row>
    <row r="1714" hidden="1">
      <c r="B1714" s="339"/>
      <c r="C1714" s="86" t="str">
        <f t="shared" si="42"/>
        <v>completeHa.Site6</v>
      </c>
      <c r="D1714" s="339"/>
      <c r="F1714" s="340"/>
    </row>
    <row r="1715" hidden="1">
      <c r="B1715" s="339"/>
      <c r="C1715" s="86" t="str">
        <f t="shared" si="42"/>
        <v>completeHa.Site7</v>
      </c>
      <c r="D1715" s="339"/>
      <c r="F1715" s="340"/>
    </row>
    <row r="1716" hidden="1">
      <c r="B1716" s="339"/>
      <c r="C1716" s="86" t="str">
        <f t="shared" si="42"/>
        <v>completeHa.Site8</v>
      </c>
      <c r="D1716" s="339"/>
      <c r="F1716" s="340"/>
    </row>
    <row r="1717" hidden="1">
      <c r="B1717" s="339"/>
      <c r="C1717" s="86" t="str">
        <f t="shared" si="42"/>
        <v>completeHa.Site9</v>
      </c>
      <c r="D1717" s="339"/>
      <c r="F1717" s="340"/>
    </row>
    <row r="1718" hidden="1">
      <c r="B1718" s="339"/>
      <c r="C1718" s="86" t="str">
        <f t="shared" si="42"/>
        <v>completeHa.Site10</v>
      </c>
      <c r="D1718" s="339"/>
      <c r="F1718" s="340"/>
    </row>
    <row r="1719" hidden="1">
      <c r="B1719" s="339"/>
      <c r="C1719" s="86" t="str">
        <f t="shared" si="42"/>
        <v>completeHa.Site11</v>
      </c>
      <c r="D1719" s="339"/>
      <c r="F1719" s="340"/>
    </row>
    <row r="1720" hidden="1">
      <c r="B1720" s="339"/>
      <c r="C1720" s="86" t="str">
        <f t="shared" si="42"/>
        <v>completeHa.Site12</v>
      </c>
      <c r="D1720" s="339"/>
      <c r="F1720" s="340"/>
    </row>
    <row r="1721" hidden="1">
      <c r="B1721" s="339"/>
      <c r="C1721" s="86" t="str">
        <f t="shared" si="42"/>
        <v>completeHa.Site13</v>
      </c>
      <c r="D1721" s="339"/>
      <c r="F1721" s="340"/>
    </row>
    <row r="1722" hidden="1">
      <c r="B1722" s="339"/>
      <c r="C1722" s="86" t="str">
        <f t="shared" si="42"/>
        <v>completeHa.Site14</v>
      </c>
      <c r="D1722" s="339"/>
      <c r="F1722" s="340"/>
    </row>
    <row r="1723" hidden="1">
      <c r="B1723" s="339"/>
      <c r="C1723" s="86" t="str">
        <f t="shared" si="42"/>
        <v>complete</v>
      </c>
      <c r="D1723" s="339"/>
      <c r="F1723" s="340"/>
    </row>
    <row r="1724" hidden="1">
      <c r="B1724" s="339"/>
      <c r="C1724" s="86" t="str">
        <f t="shared" si="42"/>
        <v>complete</v>
      </c>
      <c r="D1724" s="339"/>
      <c r="F1724" s="340"/>
    </row>
    <row r="1725" hidden="1">
      <c r="B1725" s="339"/>
      <c r="C1725" s="86" t="str">
        <f t="shared" si="42"/>
        <v>complete</v>
      </c>
      <c r="D1725" s="339"/>
      <c r="F1725" s="340"/>
    </row>
    <row r="1726" hidden="1">
      <c r="B1726" s="339"/>
      <c r="C1726" s="86" t="str">
        <f t="shared" si="42"/>
        <v>complete</v>
      </c>
      <c r="D1726" s="339"/>
      <c r="F1726" s="340"/>
    </row>
    <row r="1727" hidden="1">
      <c r="B1727" s="339"/>
      <c r="C1727" s="86" t="str">
        <f t="shared" si="42"/>
        <v>complete</v>
      </c>
      <c r="D1727" s="339"/>
      <c r="F1727" s="340"/>
    </row>
    <row r="1728" hidden="1">
      <c r="B1728" s="339"/>
      <c r="C1728" s="86" t="str">
        <f t="shared" si="42"/>
        <v>completeNick Name:Hong.300</v>
      </c>
      <c r="D1728" s="339"/>
      <c r="F1728" s="340"/>
    </row>
    <row r="1729" hidden="1">
      <c r="B1729" s="339"/>
      <c r="C1729" s="86" t="str">
        <f t="shared" si="42"/>
        <v>completeFull Name:Hong.300</v>
      </c>
      <c r="D1729" s="339"/>
      <c r="F1729" s="340"/>
    </row>
    <row r="1730" hidden="1">
      <c r="B1730" s="339"/>
      <c r="C1730" s="86" t="str">
        <f t="shared" si="42"/>
        <v>completePosition:Hong.300</v>
      </c>
      <c r="D1730" s="339"/>
      <c r="F1730" s="340"/>
    </row>
    <row r="1731" hidden="1">
      <c r="B1731" s="339"/>
      <c r="C1731" s="86" t="str">
        <f t="shared" si="42"/>
        <v>completeBirth:Hong.300</v>
      </c>
      <c r="D1731" s="339"/>
      <c r="F1731" s="340"/>
    </row>
    <row r="1732" hidden="1">
      <c r="B1732" s="339"/>
      <c r="C1732" s="86" t="str">
        <f t="shared" si="42"/>
        <v>completeExperience:Hong.300</v>
      </c>
      <c r="D1732" s="339"/>
      <c r="F1732" s="340"/>
    </row>
    <row r="1733" hidden="1">
      <c r="B1733" s="339"/>
      <c r="C1733" s="86" t="str">
        <f t="shared" si="42"/>
        <v>completeQuote:Hong.300</v>
      </c>
      <c r="D1733" s="339"/>
      <c r="F1733" s="340"/>
    </row>
    <row r="1734" hidden="1">
      <c r="B1734" s="339"/>
      <c r="C1734" s="86" t="str">
        <f t="shared" si="42"/>
        <v>complete</v>
      </c>
      <c r="D1734" s="339"/>
      <c r="F1734" s="340"/>
    </row>
    <row r="1735" hidden="1">
      <c r="B1735" s="339"/>
      <c r="C1735" s="86" t="str">
        <f t="shared" si="42"/>
        <v>complete</v>
      </c>
      <c r="D1735" s="339"/>
      <c r="F1735" s="340"/>
    </row>
    <row r="1736" hidden="1">
      <c r="B1736" s="339"/>
      <c r="C1736" s="86" t="str">
        <f t="shared" si="42"/>
        <v>complete❤️️Hong.300</v>
      </c>
      <c r="D1736" s="339"/>
      <c r="F1736" s="340"/>
    </row>
    <row r="1737" hidden="1">
      <c r="B1737" s="339"/>
      <c r="C1737" s="86" t="str">
        <f t="shared" si="42"/>
        <v>complete</v>
      </c>
      <c r="D1737" s="339"/>
      <c r="F1737" s="340"/>
    </row>
    <row r="1738" hidden="1">
      <c r="B1738" s="339"/>
      <c r="C1738" s="86" t="str">
        <f t="shared" si="42"/>
        <v>complete</v>
      </c>
      <c r="D1738" s="339"/>
      <c r="F1738" s="340"/>
    </row>
    <row r="1739" hidden="1">
      <c r="B1739" s="339"/>
      <c r="C1739" s="86" t="str">
        <f t="shared" si="42"/>
        <v>completeHong.3001</v>
      </c>
      <c r="D1739" s="339"/>
      <c r="F1739" s="340"/>
    </row>
    <row r="1740" hidden="1">
      <c r="B1740" s="339"/>
      <c r="C1740" s="86" t="str">
        <f t="shared" si="42"/>
        <v>completeHong.3002</v>
      </c>
      <c r="D1740" s="339"/>
      <c r="F1740" s="340"/>
    </row>
    <row r="1741" hidden="1">
      <c r="B1741" s="339"/>
      <c r="C1741" s="86" t="str">
        <f t="shared" si="42"/>
        <v>completeHong.3003</v>
      </c>
      <c r="D1741" s="339"/>
      <c r="F1741" s="340"/>
    </row>
    <row r="1742" hidden="1">
      <c r="B1742" s="339"/>
      <c r="C1742" s="86" t="str">
        <f t="shared" si="42"/>
        <v>completeHong.3004</v>
      </c>
      <c r="D1742" s="339"/>
      <c r="F1742" s="340"/>
    </row>
    <row r="1743" hidden="1">
      <c r="B1743" s="339"/>
      <c r="C1743" s="86" t="str">
        <f t="shared" si="42"/>
        <v>completeHong.3005</v>
      </c>
      <c r="D1743" s="339"/>
      <c r="F1743" s="340"/>
    </row>
    <row r="1744" hidden="1">
      <c r="B1744" s="339"/>
      <c r="C1744" s="86" t="str">
        <f t="shared" si="42"/>
        <v>completeHong.3006</v>
      </c>
      <c r="D1744" s="339"/>
      <c r="F1744" s="340"/>
    </row>
    <row r="1745" hidden="1">
      <c r="B1745" s="339"/>
      <c r="C1745" s="86" t="str">
        <f t="shared" si="42"/>
        <v>completeHong.3007</v>
      </c>
      <c r="D1745" s="339"/>
      <c r="F1745" s="340"/>
    </row>
    <row r="1746" hidden="1">
      <c r="B1746" s="339"/>
      <c r="C1746" s="86" t="str">
        <f t="shared" si="42"/>
        <v>completeHong.3008</v>
      </c>
      <c r="D1746" s="339"/>
      <c r="F1746" s="340"/>
    </row>
    <row r="1747" hidden="1">
      <c r="B1747" s="339"/>
      <c r="C1747" s="86" t="str">
        <f t="shared" si="42"/>
        <v>completeHong.3009</v>
      </c>
      <c r="D1747" s="339"/>
      <c r="F1747" s="340"/>
    </row>
    <row r="1748" hidden="1">
      <c r="B1748" s="339"/>
      <c r="C1748" s="86" t="str">
        <f t="shared" si="42"/>
        <v>completeHong.30010</v>
      </c>
      <c r="D1748" s="339"/>
      <c r="F1748" s="340"/>
    </row>
    <row r="1749" hidden="1">
      <c r="B1749" s="339"/>
      <c r="C1749" s="86" t="str">
        <f t="shared" si="42"/>
        <v>completeHong.30011</v>
      </c>
      <c r="D1749" s="339"/>
      <c r="F1749" s="340"/>
    </row>
    <row r="1750" hidden="1">
      <c r="B1750" s="339"/>
      <c r="C1750" s="86" t="str">
        <f t="shared" si="42"/>
        <v>completeHong.30012</v>
      </c>
      <c r="D1750" s="339"/>
      <c r="F1750" s="340"/>
    </row>
    <row r="1751" hidden="1">
      <c r="B1751" s="339"/>
      <c r="C1751" s="86" t="str">
        <f t="shared" si="42"/>
        <v>completeHong.30013</v>
      </c>
      <c r="D1751" s="339"/>
      <c r="F1751" s="340"/>
    </row>
    <row r="1752" hidden="1">
      <c r="B1752" s="339"/>
      <c r="C1752" s="86" t="str">
        <f t="shared" si="42"/>
        <v>completeHong.30014</v>
      </c>
      <c r="D1752" s="339"/>
      <c r="F1752" s="340"/>
    </row>
    <row r="1753" hidden="1">
      <c r="B1753" s="339"/>
      <c r="C1753" s="86" t="str">
        <f t="shared" si="42"/>
        <v>complete</v>
      </c>
      <c r="D1753" s="339"/>
      <c r="F1753" s="340"/>
    </row>
    <row r="1754" hidden="1">
      <c r="B1754" s="339"/>
      <c r="C1754" s="86" t="str">
        <f t="shared" si="42"/>
        <v>complete</v>
      </c>
      <c r="D1754" s="339"/>
      <c r="F1754" s="340"/>
    </row>
    <row r="1755" hidden="1">
      <c r="B1755" s="339"/>
      <c r="C1755" s="86" t="str">
        <f t="shared" si="42"/>
        <v>complete</v>
      </c>
      <c r="D1755" s="339"/>
      <c r="F1755" s="340"/>
    </row>
    <row r="1756" hidden="1">
      <c r="B1756" s="339"/>
      <c r="C1756" s="86" t="str">
        <f t="shared" si="42"/>
        <v>complete</v>
      </c>
      <c r="D1756" s="339"/>
      <c r="F1756" s="340"/>
    </row>
    <row r="1757" hidden="1">
      <c r="B1757" s="339"/>
      <c r="C1757" s="86" t="str">
        <f t="shared" si="42"/>
        <v>complete</v>
      </c>
      <c r="D1757" s="339"/>
      <c r="F1757" s="340"/>
    </row>
    <row r="1758" hidden="1">
      <c r="B1758" s="339"/>
      <c r="C1758" s="86" t="str">
        <f t="shared" si="42"/>
        <v>completeNick Name:Ngat.500</v>
      </c>
      <c r="D1758" s="339"/>
      <c r="F1758" s="340"/>
    </row>
    <row r="1759" hidden="1">
      <c r="B1759" s="339"/>
      <c r="C1759" s="86" t="str">
        <f t="shared" si="42"/>
        <v>completeFull Name:Ngat.500</v>
      </c>
      <c r="D1759" s="339"/>
      <c r="F1759" s="340"/>
    </row>
    <row r="1760" hidden="1">
      <c r="B1760" s="339"/>
      <c r="C1760" s="86" t="str">
        <f t="shared" si="42"/>
        <v>completePosition:Ngat.500</v>
      </c>
      <c r="D1760" s="339"/>
      <c r="F1760" s="340"/>
    </row>
    <row r="1761" hidden="1">
      <c r="B1761" s="339"/>
      <c r="C1761" s="86" t="str">
        <f t="shared" si="42"/>
        <v>completeBirth:Ngat.500</v>
      </c>
      <c r="D1761" s="339"/>
      <c r="F1761" s="340"/>
    </row>
    <row r="1762" hidden="1">
      <c r="B1762" s="339"/>
      <c r="C1762" s="86" t="str">
        <f t="shared" si="42"/>
        <v>completeExperience:Ngat.500</v>
      </c>
      <c r="D1762" s="339"/>
      <c r="F1762" s="340"/>
    </row>
    <row r="1763" hidden="1">
      <c r="B1763" s="339"/>
      <c r="C1763" s="86" t="str">
        <f t="shared" si="42"/>
        <v>completeQuote:Ngat.500</v>
      </c>
      <c r="D1763" s="339"/>
      <c r="F1763" s="340"/>
    </row>
    <row r="1764" hidden="1">
      <c r="B1764" s="339"/>
      <c r="C1764" s="86" t="str">
        <f t="shared" si="42"/>
        <v>complete</v>
      </c>
      <c r="D1764" s="339"/>
      <c r="F1764" s="340"/>
    </row>
    <row r="1765" hidden="1">
      <c r="B1765" s="339"/>
      <c r="C1765" s="86" t="str">
        <f t="shared" si="42"/>
        <v>complete</v>
      </c>
      <c r="D1765" s="339"/>
      <c r="F1765" s="340"/>
    </row>
    <row r="1766" hidden="1">
      <c r="B1766" s="339"/>
      <c r="C1766" s="86" t="str">
        <f t="shared" si="42"/>
        <v>complete❤️️Ngat.500</v>
      </c>
      <c r="D1766" s="339"/>
      <c r="F1766" s="340"/>
    </row>
    <row r="1767" hidden="1">
      <c r="B1767" s="339"/>
      <c r="C1767" s="86" t="str">
        <f t="shared" si="42"/>
        <v>complete</v>
      </c>
      <c r="D1767" s="339"/>
      <c r="F1767" s="340"/>
    </row>
    <row r="1768" hidden="1">
      <c r="B1768" s="339"/>
      <c r="C1768" s="86" t="str">
        <f t="shared" si="42"/>
        <v>complete</v>
      </c>
      <c r="D1768" s="339"/>
      <c r="F1768" s="340"/>
    </row>
    <row r="1769" hidden="1">
      <c r="B1769" s="339"/>
      <c r="C1769" s="86" t="str">
        <f t="shared" si="42"/>
        <v>completeNgat.5001</v>
      </c>
      <c r="D1769" s="339"/>
      <c r="F1769" s="340"/>
    </row>
    <row r="1770" hidden="1">
      <c r="B1770" s="339"/>
      <c r="C1770" s="86" t="str">
        <f t="shared" si="42"/>
        <v>completeNgat.5002</v>
      </c>
      <c r="D1770" s="339"/>
      <c r="F1770" s="340"/>
    </row>
    <row r="1771" hidden="1">
      <c r="B1771" s="339"/>
      <c r="C1771" s="86" t="str">
        <f t="shared" si="42"/>
        <v>completeNgat.5003</v>
      </c>
      <c r="D1771" s="339"/>
      <c r="F1771" s="340"/>
    </row>
    <row r="1772" hidden="1">
      <c r="B1772" s="339"/>
      <c r="C1772" s="86" t="str">
        <f t="shared" si="42"/>
        <v>completeNgat.5004</v>
      </c>
      <c r="D1772" s="339"/>
      <c r="F1772" s="340"/>
    </row>
    <row r="1773" hidden="1">
      <c r="B1773" s="339"/>
      <c r="C1773" s="86" t="str">
        <f t="shared" si="42"/>
        <v>completeNgat.5005</v>
      </c>
      <c r="D1773" s="339"/>
      <c r="F1773" s="340"/>
    </row>
    <row r="1774" hidden="1">
      <c r="B1774" s="339"/>
      <c r="C1774" s="86" t="str">
        <f t="shared" si="42"/>
        <v>completeNgat.5006</v>
      </c>
      <c r="D1774" s="339"/>
      <c r="F1774" s="340"/>
    </row>
    <row r="1775" hidden="1">
      <c r="B1775" s="339"/>
      <c r="C1775" s="86" t="str">
        <f t="shared" si="42"/>
        <v>completeNgat.5007</v>
      </c>
      <c r="D1775" s="339"/>
      <c r="F1775" s="340"/>
    </row>
    <row r="1776" hidden="1">
      <c r="B1776" s="339"/>
      <c r="C1776" s="86" t="str">
        <f t="shared" si="42"/>
        <v>completeNgat.5008</v>
      </c>
      <c r="D1776" s="339"/>
      <c r="F1776" s="340"/>
    </row>
    <row r="1777" hidden="1">
      <c r="B1777" s="339"/>
      <c r="C1777" s="86" t="str">
        <f t="shared" si="42"/>
        <v>completeNgat.5009</v>
      </c>
      <c r="D1777" s="339"/>
      <c r="F1777" s="340"/>
    </row>
    <row r="1778" hidden="1">
      <c r="B1778" s="339"/>
      <c r="C1778" s="86" t="str">
        <f t="shared" si="42"/>
        <v>completeNgat.50010</v>
      </c>
      <c r="D1778" s="339"/>
      <c r="F1778" s="340"/>
    </row>
    <row r="1779" hidden="1">
      <c r="B1779" s="339"/>
      <c r="C1779" s="86" t="str">
        <f t="shared" si="42"/>
        <v>completeNgat.50011</v>
      </c>
      <c r="D1779" s="339"/>
      <c r="F1779" s="340"/>
    </row>
    <row r="1780" hidden="1">
      <c r="B1780" s="339"/>
      <c r="C1780" s="86" t="str">
        <f t="shared" si="42"/>
        <v>completeNgat.50012</v>
      </c>
      <c r="D1780" s="339"/>
      <c r="F1780" s="340"/>
    </row>
    <row r="1781" hidden="1">
      <c r="B1781" s="339"/>
      <c r="C1781" s="86" t="str">
        <f t="shared" si="42"/>
        <v>completeNgat.50013</v>
      </c>
      <c r="D1781" s="339"/>
      <c r="F1781" s="340"/>
    </row>
    <row r="1782" hidden="1">
      <c r="B1782" s="339"/>
      <c r="C1782" s="86" t="str">
        <f t="shared" si="42"/>
        <v>completeNgat.50014</v>
      </c>
      <c r="D1782" s="339"/>
      <c r="F1782" s="340"/>
    </row>
    <row r="1783" hidden="1">
      <c r="B1783" s="339"/>
      <c r="C1783" s="86" t="str">
        <f t="shared" si="42"/>
        <v>complete</v>
      </c>
      <c r="D1783" s="339"/>
      <c r="F1783" s="340"/>
    </row>
    <row r="1784" hidden="1">
      <c r="B1784" s="339"/>
      <c r="C1784" s="86" t="str">
        <f t="shared" si="42"/>
        <v>complete</v>
      </c>
      <c r="D1784" s="339"/>
      <c r="F1784" s="340"/>
    </row>
    <row r="1785" hidden="1">
      <c r="B1785" s="339"/>
      <c r="C1785" s="86" t="str">
        <f t="shared" si="42"/>
        <v>complete</v>
      </c>
      <c r="D1785" s="339"/>
      <c r="F1785" s="340"/>
    </row>
    <row r="1786" hidden="1">
      <c r="B1786" s="339"/>
      <c r="C1786" s="86" t="str">
        <f t="shared" si="42"/>
        <v>complete</v>
      </c>
      <c r="D1786" s="339"/>
      <c r="F1786" s="340"/>
    </row>
    <row r="1787" hidden="1">
      <c r="B1787" s="339"/>
      <c r="C1787" s="86" t="str">
        <f t="shared" si="42"/>
        <v>complete</v>
      </c>
      <c r="D1787" s="339"/>
      <c r="F1787" s="340"/>
    </row>
    <row r="1788" hidden="1">
      <c r="B1788" s="339"/>
      <c r="C1788" s="86" t="str">
        <f t="shared" si="42"/>
        <v>completeNick Name:Tien.Site</v>
      </c>
      <c r="D1788" s="339"/>
      <c r="F1788" s="340"/>
    </row>
    <row r="1789" hidden="1">
      <c r="B1789" s="339"/>
      <c r="C1789" s="86" t="str">
        <f t="shared" si="42"/>
        <v>completeFull Name:Tien.Site</v>
      </c>
      <c r="D1789" s="339"/>
      <c r="F1789" s="340"/>
    </row>
    <row r="1790" hidden="1">
      <c r="B1790" s="339"/>
      <c r="C1790" s="86" t="str">
        <f t="shared" si="42"/>
        <v>completePosition:Tien.Site</v>
      </c>
      <c r="D1790" s="339"/>
      <c r="F1790" s="340"/>
    </row>
    <row r="1791" hidden="1">
      <c r="B1791" s="339"/>
      <c r="C1791" s="86" t="str">
        <f t="shared" si="42"/>
        <v>completeBirth:Tien.Site</v>
      </c>
      <c r="D1791" s="339"/>
      <c r="F1791" s="340"/>
    </row>
    <row r="1792" hidden="1">
      <c r="B1792" s="339"/>
      <c r="C1792" s="86" t="str">
        <f t="shared" si="42"/>
        <v>completeExperience:Tien.Site</v>
      </c>
      <c r="D1792" s="339"/>
      <c r="F1792" s="340"/>
    </row>
    <row r="1793" hidden="1">
      <c r="B1793" s="339"/>
      <c r="C1793" s="86" t="str">
        <f t="shared" si="42"/>
        <v>completeQuote:Tien.Site</v>
      </c>
      <c r="D1793" s="339"/>
      <c r="F1793" s="340"/>
    </row>
    <row r="1794" hidden="1">
      <c r="B1794" s="339"/>
      <c r="C1794" s="86" t="str">
        <f t="shared" si="42"/>
        <v>complete</v>
      </c>
      <c r="D1794" s="339"/>
      <c r="F1794" s="340"/>
    </row>
    <row r="1795" hidden="1">
      <c r="B1795" s="339"/>
      <c r="C1795" s="86" t="str">
        <f t="shared" si="42"/>
        <v>complete</v>
      </c>
      <c r="D1795" s="339"/>
      <c r="F1795" s="340"/>
    </row>
    <row r="1796" hidden="1">
      <c r="B1796" s="339"/>
      <c r="C1796" s="86" t="str">
        <f t="shared" si="42"/>
        <v>complete❤️️Tien.Site</v>
      </c>
      <c r="D1796" s="339"/>
      <c r="F1796" s="340"/>
    </row>
    <row r="1797" hidden="1">
      <c r="B1797" s="339"/>
      <c r="C1797" s="86" t="str">
        <f t="shared" si="42"/>
        <v>complete</v>
      </c>
      <c r="D1797" s="339"/>
      <c r="F1797" s="340"/>
    </row>
    <row r="1798" hidden="1">
      <c r="B1798" s="339"/>
      <c r="C1798" s="86" t="str">
        <f t="shared" si="42"/>
        <v>complete</v>
      </c>
      <c r="D1798" s="339"/>
      <c r="F1798" s="340"/>
    </row>
    <row r="1799" hidden="1">
      <c r="B1799" s="339"/>
      <c r="C1799" s="86" t="str">
        <f t="shared" si="42"/>
        <v>completeTien.Site1</v>
      </c>
      <c r="D1799" s="339"/>
      <c r="F1799" s="340"/>
    </row>
    <row r="1800" hidden="1">
      <c r="B1800" s="339"/>
      <c r="C1800" s="86" t="str">
        <f t="shared" si="42"/>
        <v>completeTien.Site2</v>
      </c>
      <c r="D1800" s="339"/>
      <c r="F1800" s="340"/>
    </row>
    <row r="1801" hidden="1">
      <c r="B1801" s="339"/>
      <c r="C1801" s="86" t="str">
        <f t="shared" si="42"/>
        <v>completeTien.Site3</v>
      </c>
      <c r="D1801" s="339"/>
      <c r="F1801" s="340"/>
    </row>
    <row r="1802" hidden="1">
      <c r="B1802" s="339"/>
      <c r="C1802" s="86" t="str">
        <f t="shared" si="42"/>
        <v>completeTien.Site4</v>
      </c>
      <c r="D1802" s="339"/>
      <c r="F1802" s="340"/>
    </row>
    <row r="1803" hidden="1">
      <c r="B1803" s="339"/>
      <c r="C1803" s="86" t="str">
        <f t="shared" si="42"/>
        <v>completeTien.Site5</v>
      </c>
      <c r="D1803" s="339"/>
      <c r="F1803" s="340"/>
    </row>
    <row r="1804" hidden="1">
      <c r="B1804" s="339"/>
      <c r="C1804" s="86" t="str">
        <f t="shared" si="42"/>
        <v>completeTien.Site6</v>
      </c>
      <c r="D1804" s="339"/>
      <c r="F1804" s="340"/>
    </row>
    <row r="1805" hidden="1">
      <c r="B1805" s="339"/>
      <c r="C1805" s="86" t="str">
        <f t="shared" si="42"/>
        <v>completeTien.Site7</v>
      </c>
      <c r="D1805" s="339"/>
      <c r="F1805" s="340"/>
    </row>
    <row r="1806" hidden="1">
      <c r="B1806" s="339"/>
      <c r="C1806" s="86" t="str">
        <f t="shared" si="42"/>
        <v>completeTien.Site8</v>
      </c>
      <c r="D1806" s="339"/>
      <c r="F1806" s="340"/>
    </row>
    <row r="1807" hidden="1">
      <c r="B1807" s="339"/>
      <c r="C1807" s="86" t="str">
        <f t="shared" si="42"/>
        <v>completeTien.Site9</v>
      </c>
      <c r="D1807" s="339"/>
      <c r="F1807" s="340"/>
    </row>
    <row r="1808" hidden="1">
      <c r="B1808" s="339"/>
      <c r="C1808" s="86" t="str">
        <f t="shared" si="42"/>
        <v>completeTien.Site10</v>
      </c>
      <c r="D1808" s="339"/>
      <c r="F1808" s="340"/>
    </row>
    <row r="1809" hidden="1">
      <c r="B1809" s="339"/>
      <c r="C1809" s="86" t="str">
        <f t="shared" si="42"/>
        <v>completeTien.Site11</v>
      </c>
      <c r="D1809" s="339"/>
      <c r="F1809" s="340"/>
    </row>
    <row r="1810" hidden="1">
      <c r="B1810" s="339"/>
      <c r="C1810" s="86" t="str">
        <f t="shared" si="42"/>
        <v>completeTien.Site12</v>
      </c>
      <c r="D1810" s="339"/>
      <c r="F1810" s="340"/>
    </row>
    <row r="1811" hidden="1">
      <c r="B1811" s="339"/>
      <c r="C1811" s="86" t="str">
        <f t="shared" si="42"/>
        <v>completeTien.Site13</v>
      </c>
      <c r="D1811" s="339"/>
      <c r="F1811" s="340"/>
    </row>
    <row r="1812" hidden="1">
      <c r="B1812" s="339"/>
      <c r="C1812" s="86" t="str">
        <f t="shared" si="42"/>
        <v>completeTien.Site14</v>
      </c>
      <c r="D1812" s="339"/>
      <c r="F1812" s="340"/>
    </row>
    <row r="1813" hidden="1">
      <c r="B1813" s="339"/>
      <c r="C1813" s="86" t="str">
        <f t="shared" si="42"/>
        <v>complete</v>
      </c>
      <c r="D1813" s="339"/>
      <c r="F1813" s="340"/>
    </row>
    <row r="1814" hidden="1">
      <c r="B1814" s="339"/>
      <c r="C1814" s="86" t="str">
        <f t="shared" si="42"/>
        <v>complete</v>
      </c>
      <c r="D1814" s="339"/>
      <c r="F1814" s="340"/>
    </row>
    <row r="1815" hidden="1">
      <c r="B1815" s="339"/>
      <c r="C1815" s="86" t="str">
        <f t="shared" si="42"/>
        <v>complete</v>
      </c>
      <c r="D1815" s="339"/>
      <c r="F1815" s="340"/>
    </row>
    <row r="1816" hidden="1">
      <c r="B1816" s="339"/>
      <c r="C1816" s="86" t="str">
        <f t="shared" si="42"/>
        <v>complete</v>
      </c>
      <c r="D1816" s="339"/>
      <c r="F1816" s="340"/>
    </row>
    <row r="1817" hidden="1">
      <c r="B1817" s="339"/>
      <c r="C1817" s="86" t="str">
        <f t="shared" si="42"/>
        <v>complete</v>
      </c>
      <c r="D1817" s="339"/>
      <c r="F1817" s="340"/>
    </row>
    <row r="1818" hidden="1">
      <c r="B1818" s="339"/>
      <c r="C1818" s="86" t="str">
        <f t="shared" si="42"/>
        <v>completeNick Name:...</v>
      </c>
      <c r="D1818" s="339"/>
      <c r="F1818" s="340"/>
    </row>
    <row r="1819" hidden="1">
      <c r="B1819" s="339"/>
      <c r="C1819" s="86" t="str">
        <f t="shared" si="42"/>
        <v>completeFull Name:...</v>
      </c>
      <c r="D1819" s="339"/>
      <c r="F1819" s="340"/>
    </row>
    <row r="1820" hidden="1">
      <c r="B1820" s="339"/>
      <c r="C1820" s="86" t="str">
        <f t="shared" si="42"/>
        <v>completePosition:...</v>
      </c>
      <c r="D1820" s="339"/>
      <c r="F1820" s="340"/>
    </row>
    <row r="1821" hidden="1">
      <c r="B1821" s="339"/>
      <c r="C1821" s="86" t="str">
        <f t="shared" si="42"/>
        <v>completeBirth:...</v>
      </c>
      <c r="D1821" s="339"/>
      <c r="F1821" s="340"/>
    </row>
    <row r="1822" hidden="1">
      <c r="B1822" s="339"/>
      <c r="C1822" s="86" t="str">
        <f t="shared" si="42"/>
        <v>completeExperience:...</v>
      </c>
      <c r="D1822" s="339"/>
      <c r="F1822" s="340"/>
    </row>
    <row r="1823" hidden="1">
      <c r="B1823" s="339"/>
      <c r="C1823" s="86" t="str">
        <f t="shared" si="42"/>
        <v>completeQuote:...</v>
      </c>
      <c r="D1823" s="339"/>
      <c r="F1823" s="340"/>
    </row>
    <row r="1824" hidden="1">
      <c r="B1824" s="339"/>
      <c r="C1824" s="86" t="str">
        <f t="shared" si="42"/>
        <v>complete</v>
      </c>
      <c r="D1824" s="339"/>
      <c r="F1824" s="340"/>
    </row>
    <row r="1825" hidden="1">
      <c r="B1825" s="339"/>
      <c r="C1825" s="86" t="str">
        <f t="shared" si="42"/>
        <v>complete</v>
      </c>
      <c r="D1825" s="339"/>
      <c r="F1825" s="340"/>
    </row>
    <row r="1826" hidden="1">
      <c r="B1826" s="339"/>
      <c r="C1826" s="86" t="str">
        <f t="shared" si="42"/>
        <v>complete❤️️...</v>
      </c>
      <c r="D1826" s="339"/>
      <c r="F1826" s="340"/>
    </row>
    <row r="1827" hidden="1">
      <c r="B1827" s="339"/>
      <c r="C1827" s="86" t="str">
        <f t="shared" si="42"/>
        <v>complete</v>
      </c>
      <c r="D1827" s="339"/>
      <c r="F1827" s="340"/>
    </row>
    <row r="1828" hidden="1">
      <c r="B1828" s="339"/>
      <c r="C1828" s="86" t="str">
        <f t="shared" si="42"/>
        <v>complete</v>
      </c>
      <c r="D1828" s="339"/>
      <c r="F1828" s="340"/>
    </row>
    <row r="1829" hidden="1">
      <c r="B1829" s="339"/>
      <c r="C1829" s="86" t="str">
        <f t="shared" si="42"/>
        <v>complete...1</v>
      </c>
      <c r="D1829" s="339"/>
      <c r="F1829" s="340"/>
    </row>
    <row r="1830" hidden="1">
      <c r="B1830" s="339"/>
      <c r="C1830" s="86" t="str">
        <f t="shared" si="42"/>
        <v>complete...2</v>
      </c>
      <c r="D1830" s="339"/>
      <c r="F1830" s="340"/>
    </row>
    <row r="1831" hidden="1">
      <c r="B1831" s="339"/>
      <c r="C1831" s="86" t="str">
        <f t="shared" si="42"/>
        <v>complete...3</v>
      </c>
      <c r="D1831" s="339"/>
      <c r="F1831" s="340"/>
    </row>
    <row r="1832" hidden="1">
      <c r="B1832" s="339"/>
      <c r="C1832" s="86" t="str">
        <f t="shared" si="42"/>
        <v>complete...4</v>
      </c>
      <c r="D1832" s="339"/>
      <c r="F1832" s="340"/>
    </row>
    <row r="1833" hidden="1">
      <c r="B1833" s="339"/>
      <c r="C1833" s="86" t="str">
        <f t="shared" si="42"/>
        <v>complete...5</v>
      </c>
      <c r="D1833" s="339"/>
      <c r="F1833" s="340"/>
    </row>
    <row r="1834" hidden="1">
      <c r="B1834" s="339"/>
      <c r="C1834" s="86" t="str">
        <f t="shared" si="42"/>
        <v>complete...6</v>
      </c>
      <c r="D1834" s="339"/>
      <c r="F1834" s="340"/>
    </row>
    <row r="1835" hidden="1">
      <c r="B1835" s="339"/>
      <c r="C1835" s="86" t="str">
        <f t="shared" si="42"/>
        <v>complete...7</v>
      </c>
      <c r="D1835" s="339"/>
      <c r="F1835" s="340"/>
    </row>
    <row r="1836" hidden="1">
      <c r="B1836" s="339"/>
      <c r="C1836" s="86" t="str">
        <f t="shared" si="42"/>
        <v>complete...8</v>
      </c>
      <c r="D1836" s="339"/>
      <c r="F1836" s="340"/>
    </row>
    <row r="1837" hidden="1">
      <c r="B1837" s="339"/>
      <c r="C1837" s="86" t="str">
        <f t="shared" si="42"/>
        <v>complete...9</v>
      </c>
      <c r="D1837" s="339"/>
      <c r="F1837" s="340"/>
    </row>
    <row r="1838" hidden="1">
      <c r="B1838" s="339"/>
      <c r="C1838" s="86" t="str">
        <f t="shared" si="42"/>
        <v>complete...10</v>
      </c>
      <c r="D1838" s="339"/>
      <c r="F1838" s="340"/>
    </row>
    <row r="1839" hidden="1">
      <c r="B1839" s="339"/>
      <c r="C1839" s="86" t="str">
        <f t="shared" si="42"/>
        <v>complete...11</v>
      </c>
      <c r="D1839" s="339"/>
      <c r="F1839" s="340"/>
    </row>
    <row r="1840" hidden="1">
      <c r="B1840" s="339"/>
      <c r="C1840" s="86" t="str">
        <f t="shared" si="42"/>
        <v>complete...12</v>
      </c>
      <c r="D1840" s="339"/>
      <c r="F1840" s="340"/>
    </row>
    <row r="1841" hidden="1">
      <c r="B1841" s="339"/>
      <c r="C1841" s="86" t="str">
        <f t="shared" si="42"/>
        <v>complete...13</v>
      </c>
      <c r="D1841" s="339"/>
      <c r="F1841" s="340"/>
    </row>
    <row r="1842" hidden="1">
      <c r="B1842" s="339"/>
      <c r="C1842" s="86" t="str">
        <f t="shared" si="42"/>
        <v>complete...14</v>
      </c>
      <c r="D1842" s="339"/>
      <c r="F1842" s="340"/>
    </row>
    <row r="1843" hidden="1">
      <c r="B1843" s="339"/>
      <c r="C1843" s="86" t="str">
        <f t="shared" si="42"/>
        <v>complete</v>
      </c>
      <c r="D1843" s="339"/>
      <c r="F1843" s="340"/>
    </row>
    <row r="1844" hidden="1">
      <c r="B1844" s="339"/>
      <c r="C1844" s="86" t="str">
        <f t="shared" si="42"/>
        <v>complete</v>
      </c>
      <c r="D1844" s="339"/>
      <c r="F1844" s="340"/>
    </row>
    <row r="1845" hidden="1">
      <c r="B1845" s="339"/>
      <c r="C1845" s="86" t="str">
        <f t="shared" si="42"/>
        <v>complete</v>
      </c>
      <c r="D1845" s="339"/>
      <c r="F1845" s="340"/>
    </row>
    <row r="1846" hidden="1">
      <c r="B1846" s="339"/>
      <c r="C1846" s="86" t="str">
        <f t="shared" si="42"/>
        <v>complete</v>
      </c>
      <c r="D1846" s="339"/>
      <c r="F1846" s="340"/>
    </row>
    <row r="1847" hidden="1">
      <c r="B1847" s="339"/>
      <c r="C1847" s="86" t="str">
        <f t="shared" si="42"/>
        <v>complete</v>
      </c>
      <c r="D1847" s="339"/>
      <c r="F1847" s="340"/>
    </row>
    <row r="1848" hidden="1">
      <c r="B1848" s="339"/>
      <c r="C1848" s="86" t="str">
        <f t="shared" si="42"/>
        <v>completeNick Name:...</v>
      </c>
      <c r="D1848" s="339"/>
      <c r="F1848" s="340"/>
    </row>
    <row r="1849" hidden="1">
      <c r="B1849" s="339"/>
      <c r="C1849" s="86" t="str">
        <f t="shared" si="42"/>
        <v>completeFull Name:...</v>
      </c>
      <c r="D1849" s="339"/>
      <c r="F1849" s="340"/>
    </row>
    <row r="1850" hidden="1">
      <c r="B1850" s="339"/>
      <c r="C1850" s="86" t="str">
        <f t="shared" si="42"/>
        <v>completePosition:...</v>
      </c>
      <c r="D1850" s="339"/>
      <c r="F1850" s="340"/>
    </row>
    <row r="1851" hidden="1">
      <c r="B1851" s="339"/>
      <c r="C1851" s="86" t="str">
        <f t="shared" si="42"/>
        <v>completeBirth:...</v>
      </c>
      <c r="D1851" s="339"/>
      <c r="F1851" s="340"/>
    </row>
    <row r="1852" hidden="1">
      <c r="B1852" s="339"/>
      <c r="C1852" s="86" t="str">
        <f t="shared" si="42"/>
        <v>completeExperience:...</v>
      </c>
      <c r="D1852" s="339"/>
      <c r="F1852" s="340"/>
    </row>
    <row r="1853" hidden="1">
      <c r="B1853" s="339"/>
      <c r="C1853" s="86" t="str">
        <f t="shared" si="42"/>
        <v>completeQuote:...</v>
      </c>
      <c r="D1853" s="339"/>
      <c r="F1853" s="340"/>
    </row>
    <row r="1854" hidden="1">
      <c r="B1854" s="339"/>
      <c r="C1854" s="86" t="str">
        <f t="shared" si="42"/>
        <v>complete</v>
      </c>
      <c r="D1854" s="339"/>
      <c r="F1854" s="340"/>
    </row>
    <row r="1855" hidden="1">
      <c r="B1855" s="339"/>
      <c r="C1855" s="86" t="str">
        <f t="shared" si="42"/>
        <v>complete</v>
      </c>
      <c r="D1855" s="339"/>
      <c r="F1855" s="340"/>
    </row>
    <row r="1856" hidden="1">
      <c r="B1856" s="339"/>
      <c r="C1856" s="86" t="str">
        <f t="shared" si="42"/>
        <v>complete❤️️...</v>
      </c>
      <c r="D1856" s="339"/>
      <c r="F1856" s="340"/>
    </row>
    <row r="1857" hidden="1">
      <c r="B1857" s="339"/>
      <c r="C1857" s="86" t="str">
        <f t="shared" si="42"/>
        <v>complete</v>
      </c>
      <c r="D1857" s="339"/>
      <c r="F1857" s="340"/>
    </row>
    <row r="1858" hidden="1">
      <c r="B1858" s="339"/>
      <c r="C1858" s="86" t="str">
        <f t="shared" si="42"/>
        <v>complete</v>
      </c>
      <c r="D1858" s="339"/>
      <c r="F1858" s="340"/>
    </row>
    <row r="1859" hidden="1">
      <c r="B1859" s="339"/>
      <c r="C1859" s="86" t="str">
        <f t="shared" si="42"/>
        <v>complete...1</v>
      </c>
      <c r="D1859" s="339"/>
      <c r="F1859" s="340"/>
    </row>
    <row r="1860" hidden="1">
      <c r="B1860" s="339"/>
      <c r="C1860" s="86" t="str">
        <f t="shared" si="42"/>
        <v>complete...2</v>
      </c>
      <c r="D1860" s="339"/>
      <c r="F1860" s="340"/>
    </row>
    <row r="1861" hidden="1">
      <c r="B1861" s="339"/>
      <c r="C1861" s="86" t="str">
        <f t="shared" si="42"/>
        <v>complete...3</v>
      </c>
      <c r="D1861" s="339"/>
      <c r="F1861" s="340"/>
    </row>
    <row r="1862" hidden="1">
      <c r="B1862" s="339"/>
      <c r="C1862" s="86" t="str">
        <f t="shared" si="42"/>
        <v>complete...4</v>
      </c>
      <c r="D1862" s="339"/>
      <c r="F1862" s="340"/>
    </row>
    <row r="1863" hidden="1">
      <c r="B1863" s="339"/>
      <c r="C1863" s="86" t="str">
        <f t="shared" si="42"/>
        <v>complete...5</v>
      </c>
      <c r="D1863" s="339"/>
      <c r="F1863" s="340"/>
    </row>
    <row r="1864" hidden="1">
      <c r="B1864" s="339"/>
      <c r="C1864" s="86" t="str">
        <f t="shared" si="42"/>
        <v>complete...6</v>
      </c>
      <c r="D1864" s="339"/>
      <c r="F1864" s="340"/>
    </row>
    <row r="1865" hidden="1">
      <c r="B1865" s="339"/>
      <c r="C1865" s="86" t="str">
        <f t="shared" si="42"/>
        <v>complete...7</v>
      </c>
      <c r="D1865" s="339"/>
      <c r="F1865" s="340"/>
    </row>
    <row r="1866" hidden="1">
      <c r="B1866" s="339"/>
      <c r="C1866" s="86" t="str">
        <f t="shared" si="42"/>
        <v>complete...8</v>
      </c>
      <c r="D1866" s="339"/>
      <c r="F1866" s="340"/>
    </row>
    <row r="1867" hidden="1">
      <c r="B1867" s="339"/>
      <c r="C1867" s="86" t="str">
        <f t="shared" si="42"/>
        <v>complete...9</v>
      </c>
      <c r="D1867" s="339"/>
      <c r="F1867" s="340"/>
    </row>
    <row r="1868" hidden="1">
      <c r="B1868" s="339"/>
      <c r="C1868" s="86" t="str">
        <f t="shared" si="42"/>
        <v>complete...10</v>
      </c>
      <c r="D1868" s="339"/>
      <c r="F1868" s="340"/>
    </row>
    <row r="1869" hidden="1">
      <c r="B1869" s="339"/>
      <c r="C1869" s="86" t="str">
        <f t="shared" si="42"/>
        <v>complete...11</v>
      </c>
      <c r="D1869" s="339"/>
      <c r="F1869" s="340"/>
    </row>
    <row r="1870" hidden="1">
      <c r="B1870" s="339"/>
      <c r="C1870" s="86" t="str">
        <f t="shared" si="42"/>
        <v>complete...12</v>
      </c>
      <c r="D1870" s="339"/>
      <c r="F1870" s="340"/>
    </row>
    <row r="1871" hidden="1">
      <c r="B1871" s="339"/>
      <c r="C1871" s="86" t="str">
        <f t="shared" si="42"/>
        <v>complete...13</v>
      </c>
      <c r="D1871" s="339"/>
      <c r="F1871" s="340"/>
    </row>
    <row r="1872" hidden="1">
      <c r="B1872" s="339"/>
      <c r="C1872" s="86" t="str">
        <f t="shared" si="42"/>
        <v>complete...14</v>
      </c>
      <c r="D1872" s="339"/>
      <c r="F1872" s="340"/>
    </row>
    <row r="1873" hidden="1">
      <c r="B1873" s="339"/>
      <c r="C1873" s="86" t="str">
        <f t="shared" si="42"/>
        <v>complete</v>
      </c>
      <c r="D1873" s="339"/>
      <c r="F1873" s="340"/>
    </row>
    <row r="1874" hidden="1">
      <c r="B1874" s="339"/>
      <c r="C1874" s="86" t="str">
        <f t="shared" si="42"/>
        <v>complete</v>
      </c>
      <c r="D1874" s="339"/>
      <c r="F1874" s="340"/>
    </row>
    <row r="1875" hidden="1">
      <c r="B1875" s="339"/>
      <c r="C1875" s="86" t="str">
        <f t="shared" si="42"/>
        <v>complete</v>
      </c>
      <c r="D1875" s="339"/>
      <c r="F1875" s="340"/>
    </row>
    <row r="1876" hidden="1">
      <c r="B1876" s="339"/>
      <c r="C1876" s="86" t="str">
        <f t="shared" si="42"/>
        <v>complete</v>
      </c>
      <c r="D1876" s="339"/>
      <c r="F1876" s="340"/>
    </row>
    <row r="1877" hidden="1">
      <c r="B1877" s="339"/>
      <c r="C1877" s="86" t="str">
        <f t="shared" si="42"/>
        <v>complete</v>
      </c>
      <c r="D1877" s="339"/>
      <c r="F1877" s="340"/>
    </row>
    <row r="1878" hidden="1">
      <c r="B1878" s="339"/>
      <c r="C1878" s="86" t="str">
        <f t="shared" si="42"/>
        <v>completeNick Name:Luat.000</v>
      </c>
      <c r="D1878" s="339"/>
      <c r="F1878" s="340"/>
    </row>
    <row r="1879" hidden="1">
      <c r="B1879" s="339"/>
      <c r="C1879" s="86" t="str">
        <f t="shared" si="42"/>
        <v>completeFull Name:Luat.000</v>
      </c>
      <c r="D1879" s="339"/>
      <c r="F1879" s="340"/>
    </row>
    <row r="1880" hidden="1">
      <c r="B1880" s="339"/>
      <c r="C1880" s="86" t="str">
        <f t="shared" si="42"/>
        <v>completePosition:Luat.000</v>
      </c>
      <c r="D1880" s="339"/>
      <c r="F1880" s="340"/>
    </row>
    <row r="1881" hidden="1">
      <c r="B1881" s="339"/>
      <c r="C1881" s="86" t="str">
        <f t="shared" si="42"/>
        <v>completeBirth:Luat.000</v>
      </c>
      <c r="D1881" s="339"/>
      <c r="F1881" s="340"/>
    </row>
    <row r="1882" hidden="1">
      <c r="B1882" s="339"/>
      <c r="C1882" s="86" t="str">
        <f t="shared" si="42"/>
        <v>completeExperience:Luat.000</v>
      </c>
      <c r="D1882" s="339"/>
      <c r="F1882" s="340"/>
    </row>
    <row r="1883" hidden="1">
      <c r="B1883" s="339"/>
      <c r="C1883" s="86" t="str">
        <f t="shared" si="42"/>
        <v>completeQuote:Luat.000</v>
      </c>
      <c r="D1883" s="339"/>
      <c r="F1883" s="340"/>
    </row>
    <row r="1884" hidden="1">
      <c r="B1884" s="339"/>
      <c r="C1884" s="86" t="str">
        <f t="shared" si="42"/>
        <v>complete</v>
      </c>
      <c r="D1884" s="339"/>
      <c r="F1884" s="340"/>
    </row>
    <row r="1885" hidden="1">
      <c r="B1885" s="339"/>
      <c r="C1885" s="86" t="str">
        <f t="shared" si="42"/>
        <v>complete</v>
      </c>
      <c r="D1885" s="339"/>
      <c r="F1885" s="340"/>
    </row>
    <row r="1886" hidden="1">
      <c r="B1886" s="339"/>
      <c r="C1886" s="86" t="str">
        <f t="shared" si="42"/>
        <v>complete❤️️Luat.000</v>
      </c>
      <c r="D1886" s="339"/>
      <c r="F1886" s="340"/>
    </row>
    <row r="1887" hidden="1">
      <c r="B1887" s="339"/>
      <c r="C1887" s="86" t="str">
        <f t="shared" si="42"/>
        <v>complete</v>
      </c>
      <c r="D1887" s="339"/>
      <c r="F1887" s="340"/>
    </row>
    <row r="1888" hidden="1">
      <c r="B1888" s="339"/>
      <c r="C1888" s="86" t="str">
        <f t="shared" si="42"/>
        <v>complete</v>
      </c>
      <c r="D1888" s="339"/>
      <c r="F1888" s="340"/>
    </row>
    <row r="1889" hidden="1">
      <c r="B1889" s="339"/>
      <c r="C1889" s="86" t="str">
        <f t="shared" si="42"/>
        <v>completeLuat.0001</v>
      </c>
      <c r="D1889" s="339"/>
      <c r="F1889" s="340"/>
    </row>
    <row r="1890" hidden="1">
      <c r="B1890" s="339"/>
      <c r="C1890" s="86" t="str">
        <f t="shared" si="42"/>
        <v>completeLuat.0002</v>
      </c>
      <c r="D1890" s="339"/>
      <c r="F1890" s="340"/>
    </row>
    <row r="1891" hidden="1">
      <c r="B1891" s="339"/>
      <c r="C1891" s="86" t="str">
        <f t="shared" si="42"/>
        <v>completeLuat.0003</v>
      </c>
      <c r="D1891" s="339"/>
      <c r="F1891" s="340"/>
    </row>
    <row r="1892" hidden="1">
      <c r="B1892" s="339"/>
      <c r="C1892" s="86" t="str">
        <f t="shared" si="42"/>
        <v>completeLuat.0004</v>
      </c>
      <c r="D1892" s="339"/>
      <c r="F1892" s="340"/>
    </row>
    <row r="1893" hidden="1">
      <c r="B1893" s="339"/>
      <c r="C1893" s="86" t="str">
        <f t="shared" si="42"/>
        <v>completeLuat.0005</v>
      </c>
      <c r="D1893" s="339"/>
      <c r="F1893" s="340"/>
    </row>
    <row r="1894" hidden="1">
      <c r="B1894" s="339"/>
      <c r="C1894" s="86" t="str">
        <f t="shared" si="42"/>
        <v>completeLuat.0006</v>
      </c>
      <c r="D1894" s="339"/>
      <c r="F1894" s="340"/>
    </row>
    <row r="1895" hidden="1">
      <c r="B1895" s="339"/>
      <c r="C1895" s="86" t="str">
        <f t="shared" si="42"/>
        <v>completeLuat.0007</v>
      </c>
      <c r="D1895" s="339"/>
      <c r="F1895" s="340"/>
    </row>
    <row r="1896" hidden="1">
      <c r="B1896" s="339"/>
      <c r="C1896" s="86" t="str">
        <f t="shared" si="42"/>
        <v>completeLuat.0008</v>
      </c>
      <c r="D1896" s="339"/>
      <c r="F1896" s="340"/>
    </row>
    <row r="1897" hidden="1">
      <c r="B1897" s="339"/>
      <c r="C1897" s="86" t="str">
        <f t="shared" si="42"/>
        <v>completeLuat.0009</v>
      </c>
      <c r="D1897" s="339"/>
      <c r="F1897" s="340"/>
    </row>
    <row r="1898" hidden="1">
      <c r="B1898" s="339"/>
      <c r="C1898" s="86" t="str">
        <f t="shared" si="42"/>
        <v>completeLuat.00010</v>
      </c>
      <c r="D1898" s="339"/>
      <c r="F1898" s="340"/>
    </row>
    <row r="1899" hidden="1">
      <c r="B1899" s="339"/>
      <c r="C1899" s="86" t="str">
        <f t="shared" si="42"/>
        <v>completeLuat.00011</v>
      </c>
      <c r="D1899" s="339"/>
      <c r="F1899" s="340"/>
    </row>
    <row r="1900" hidden="1">
      <c r="B1900" s="339"/>
      <c r="C1900" s="86" t="str">
        <f t="shared" si="42"/>
        <v>completeLuat.00012</v>
      </c>
      <c r="D1900" s="339"/>
      <c r="F1900" s="340"/>
    </row>
    <row r="1901" hidden="1">
      <c r="B1901" s="339"/>
      <c r="C1901" s="86" t="str">
        <f t="shared" si="42"/>
        <v>completeLuat.00013</v>
      </c>
      <c r="D1901" s="339"/>
      <c r="F1901" s="340"/>
    </row>
    <row r="1902" hidden="1">
      <c r="B1902" s="339"/>
      <c r="C1902" s="86" t="str">
        <f t="shared" si="42"/>
        <v>completeLuat.00014</v>
      </c>
      <c r="D1902" s="339"/>
      <c r="F1902" s="340"/>
    </row>
    <row r="1903" hidden="1">
      <c r="B1903" s="339"/>
      <c r="C1903" s="86" t="str">
        <f t="shared" si="42"/>
        <v>complete</v>
      </c>
      <c r="D1903" s="339"/>
      <c r="F1903" s="340"/>
    </row>
    <row r="1904" hidden="1">
      <c r="B1904" s="339"/>
      <c r="C1904" s="86" t="str">
        <f t="shared" si="42"/>
        <v>complete</v>
      </c>
      <c r="D1904" s="339"/>
      <c r="F1904" s="340"/>
    </row>
    <row r="1905" hidden="1">
      <c r="B1905" s="339"/>
      <c r="C1905" s="86" t="str">
        <f t="shared" si="42"/>
        <v>complete</v>
      </c>
      <c r="D1905" s="339"/>
      <c r="F1905" s="340"/>
    </row>
    <row r="1906" hidden="1">
      <c r="B1906" s="339"/>
      <c r="C1906" s="86" t="str">
        <f t="shared" si="42"/>
        <v>complete</v>
      </c>
      <c r="D1906" s="339"/>
      <c r="F1906" s="340"/>
    </row>
    <row r="1907" hidden="1">
      <c r="B1907" s="339"/>
      <c r="C1907" s="86" t="str">
        <f t="shared" si="42"/>
        <v>complete</v>
      </c>
      <c r="D1907" s="339"/>
      <c r="F1907" s="340"/>
    </row>
    <row r="1908" hidden="1">
      <c r="B1908" s="339"/>
      <c r="C1908" s="86" t="str">
        <f t="shared" si="42"/>
        <v>completeNick Name:Tu Anh.200</v>
      </c>
      <c r="D1908" s="339"/>
      <c r="F1908" s="340"/>
    </row>
    <row r="1909" hidden="1">
      <c r="B1909" s="339"/>
      <c r="C1909" s="86" t="str">
        <f t="shared" si="42"/>
        <v>completeFull Name:Tu Anh.200</v>
      </c>
      <c r="D1909" s="339"/>
      <c r="F1909" s="340"/>
    </row>
    <row r="1910" hidden="1">
      <c r="B1910" s="339"/>
      <c r="C1910" s="86" t="str">
        <f t="shared" si="42"/>
        <v>completePosition:Tu Anh.200</v>
      </c>
      <c r="D1910" s="339"/>
      <c r="F1910" s="340"/>
    </row>
    <row r="1911" hidden="1">
      <c r="B1911" s="339"/>
      <c r="C1911" s="86" t="str">
        <f t="shared" si="42"/>
        <v>completeBirth:Tu Anh.200</v>
      </c>
      <c r="D1911" s="339"/>
      <c r="F1911" s="340"/>
    </row>
    <row r="1912" hidden="1">
      <c r="B1912" s="339"/>
      <c r="C1912" s="86" t="str">
        <f t="shared" si="42"/>
        <v>completeExperience:Tu Anh.200</v>
      </c>
      <c r="D1912" s="339"/>
      <c r="F1912" s="340"/>
    </row>
    <row r="1913" hidden="1">
      <c r="B1913" s="339"/>
      <c r="C1913" s="86" t="str">
        <f t="shared" si="42"/>
        <v>completeQuote:Tu Anh.200</v>
      </c>
      <c r="D1913" s="339"/>
      <c r="F1913" s="340"/>
    </row>
    <row r="1914" hidden="1">
      <c r="B1914" s="339"/>
      <c r="C1914" s="86" t="str">
        <f t="shared" si="42"/>
        <v>complete</v>
      </c>
      <c r="D1914" s="339"/>
      <c r="F1914" s="340"/>
    </row>
    <row r="1915" hidden="1">
      <c r="B1915" s="339"/>
      <c r="C1915" s="86" t="str">
        <f t="shared" si="42"/>
        <v>complete</v>
      </c>
      <c r="D1915" s="339"/>
      <c r="F1915" s="340"/>
    </row>
    <row r="1916" hidden="1">
      <c r="B1916" s="339"/>
      <c r="C1916" s="86" t="str">
        <f t="shared" si="42"/>
        <v>complete❤️️Tu Anh.200</v>
      </c>
      <c r="D1916" s="339"/>
      <c r="F1916" s="340"/>
    </row>
    <row r="1917" hidden="1">
      <c r="B1917" s="339"/>
      <c r="C1917" s="86" t="str">
        <f t="shared" si="42"/>
        <v>complete</v>
      </c>
      <c r="D1917" s="339"/>
      <c r="F1917" s="340"/>
    </row>
    <row r="1918" hidden="1">
      <c r="B1918" s="339"/>
      <c r="C1918" s="86" t="str">
        <f t="shared" si="42"/>
        <v>complete</v>
      </c>
      <c r="D1918" s="339"/>
      <c r="F1918" s="340"/>
    </row>
    <row r="1919" hidden="1">
      <c r="B1919" s="339"/>
      <c r="C1919" s="86" t="str">
        <f t="shared" si="42"/>
        <v>completeTu Anh.2001</v>
      </c>
      <c r="D1919" s="339"/>
      <c r="F1919" s="340"/>
    </row>
    <row r="1920" hidden="1">
      <c r="B1920" s="339"/>
      <c r="C1920" s="86" t="str">
        <f t="shared" si="42"/>
        <v>completeTu Anh.2002</v>
      </c>
      <c r="D1920" s="339"/>
      <c r="F1920" s="340"/>
    </row>
    <row r="1921" hidden="1">
      <c r="B1921" s="339"/>
      <c r="C1921" s="86" t="str">
        <f t="shared" si="42"/>
        <v>completeTu Anh.2003</v>
      </c>
      <c r="D1921" s="339"/>
      <c r="F1921" s="340"/>
    </row>
    <row r="1922" hidden="1">
      <c r="B1922" s="339"/>
      <c r="C1922" s="86" t="str">
        <f t="shared" si="42"/>
        <v>completeTu Anh.2004</v>
      </c>
      <c r="D1922" s="339"/>
      <c r="F1922" s="340"/>
    </row>
    <row r="1923" hidden="1">
      <c r="B1923" s="339"/>
      <c r="C1923" s="86" t="str">
        <f t="shared" si="42"/>
        <v>completeTu Anh.2005</v>
      </c>
      <c r="D1923" s="339"/>
      <c r="F1923" s="340"/>
    </row>
    <row r="1924" hidden="1">
      <c r="B1924" s="339"/>
      <c r="C1924" s="86" t="str">
        <f t="shared" si="42"/>
        <v>completeTu Anh.2006</v>
      </c>
      <c r="D1924" s="339"/>
      <c r="F1924" s="340"/>
    </row>
    <row r="1925" hidden="1">
      <c r="B1925" s="339"/>
      <c r="C1925" s="86" t="str">
        <f t="shared" si="42"/>
        <v>completeTu Anh.2007</v>
      </c>
      <c r="D1925" s="339"/>
      <c r="F1925" s="340"/>
    </row>
    <row r="1926" hidden="1">
      <c r="B1926" s="339"/>
      <c r="C1926" s="86" t="str">
        <f t="shared" si="42"/>
        <v>completeTu Anh.2008</v>
      </c>
      <c r="D1926" s="339"/>
      <c r="F1926" s="340"/>
    </row>
    <row r="1927" hidden="1">
      <c r="B1927" s="339"/>
      <c r="C1927" s="86" t="str">
        <f t="shared" si="42"/>
        <v>completeTu Anh.2009</v>
      </c>
      <c r="D1927" s="339"/>
      <c r="F1927" s="340"/>
    </row>
    <row r="1928" hidden="1">
      <c r="B1928" s="339"/>
      <c r="C1928" s="86" t="str">
        <f t="shared" si="42"/>
        <v>completeTu Anh.20010</v>
      </c>
      <c r="D1928" s="339"/>
      <c r="F1928" s="340"/>
    </row>
    <row r="1929" hidden="1">
      <c r="B1929" s="339"/>
      <c r="C1929" s="86" t="str">
        <f t="shared" si="42"/>
        <v>completeTu Anh.20011</v>
      </c>
      <c r="D1929" s="339"/>
      <c r="F1929" s="340"/>
    </row>
    <row r="1930" hidden="1">
      <c r="B1930" s="339"/>
      <c r="C1930" s="86" t="str">
        <f t="shared" si="42"/>
        <v>completeTu Anh.20012</v>
      </c>
      <c r="D1930" s="339"/>
      <c r="F1930" s="340"/>
    </row>
    <row r="1931" hidden="1">
      <c r="B1931" s="339"/>
      <c r="C1931" s="86" t="str">
        <f t="shared" si="42"/>
        <v>completeTu Anh.20013</v>
      </c>
      <c r="D1931" s="339"/>
      <c r="F1931" s="340"/>
    </row>
    <row r="1932" hidden="1">
      <c r="B1932" s="339"/>
      <c r="C1932" s="86" t="str">
        <f t="shared" si="42"/>
        <v>completeTu Anh.20014</v>
      </c>
      <c r="D1932" s="339"/>
      <c r="F1932" s="340"/>
    </row>
    <row r="1933" hidden="1">
      <c r="B1933" s="339"/>
      <c r="C1933" s="86" t="str">
        <f t="shared" si="42"/>
        <v>complete</v>
      </c>
      <c r="D1933" s="339"/>
      <c r="F1933" s="340"/>
    </row>
    <row r="1934" hidden="1">
      <c r="B1934" s="339"/>
      <c r="C1934" s="86" t="str">
        <f t="shared" si="42"/>
        <v>complete</v>
      </c>
      <c r="D1934" s="339"/>
      <c r="F1934" s="340"/>
    </row>
    <row r="1935" hidden="1">
      <c r="B1935" s="339"/>
      <c r="C1935" s="86" t="str">
        <f t="shared" si="42"/>
        <v>complete</v>
      </c>
      <c r="D1935" s="339"/>
      <c r="F1935" s="340"/>
    </row>
    <row r="1936" hidden="1">
      <c r="B1936" s="339"/>
      <c r="C1936" s="86" t="str">
        <f t="shared" si="42"/>
        <v>complete</v>
      </c>
      <c r="D1936" s="339"/>
      <c r="F1936" s="340"/>
    </row>
    <row r="1937" hidden="1">
      <c r="B1937" s="339"/>
      <c r="C1937" s="86" t="str">
        <f t="shared" si="42"/>
        <v>complete</v>
      </c>
      <c r="D1937" s="339"/>
      <c r="F1937" s="340"/>
    </row>
    <row r="1938" hidden="1">
      <c r="B1938" s="339"/>
      <c r="C1938" s="86" t="str">
        <f t="shared" si="42"/>
        <v>completeNick Name:Lien.300</v>
      </c>
      <c r="D1938" s="339"/>
      <c r="F1938" s="340"/>
    </row>
    <row r="1939" hidden="1">
      <c r="B1939" s="339"/>
      <c r="C1939" s="86" t="str">
        <f t="shared" si="42"/>
        <v>completeFull Name:Lien.300</v>
      </c>
      <c r="D1939" s="339"/>
      <c r="F1939" s="340"/>
    </row>
    <row r="1940" hidden="1">
      <c r="B1940" s="339"/>
      <c r="C1940" s="86" t="str">
        <f t="shared" si="42"/>
        <v>completePosition:Lien.300</v>
      </c>
      <c r="D1940" s="339"/>
      <c r="F1940" s="340"/>
    </row>
    <row r="1941" hidden="1">
      <c r="B1941" s="339"/>
      <c r="C1941" s="86" t="str">
        <f t="shared" si="42"/>
        <v>completeBirth:Lien.300</v>
      </c>
      <c r="D1941" s="339"/>
      <c r="F1941" s="340"/>
    </row>
    <row r="1942" hidden="1">
      <c r="B1942" s="339"/>
      <c r="C1942" s="86" t="str">
        <f t="shared" si="42"/>
        <v>completeExperience:Lien.300</v>
      </c>
      <c r="D1942" s="339"/>
      <c r="F1942" s="340"/>
    </row>
    <row r="1943" hidden="1">
      <c r="B1943" s="339"/>
      <c r="C1943" s="86" t="str">
        <f t="shared" si="42"/>
        <v>completeQuote:Lien.300</v>
      </c>
      <c r="D1943" s="339"/>
      <c r="F1943" s="340"/>
    </row>
    <row r="1944" hidden="1">
      <c r="B1944" s="339"/>
      <c r="C1944" s="86" t="str">
        <f t="shared" si="42"/>
        <v>complete</v>
      </c>
      <c r="D1944" s="339"/>
      <c r="F1944" s="340"/>
    </row>
    <row r="1945" hidden="1">
      <c r="B1945" s="339"/>
      <c r="C1945" s="86" t="str">
        <f t="shared" si="42"/>
        <v>complete</v>
      </c>
      <c r="D1945" s="339"/>
      <c r="F1945" s="340"/>
    </row>
    <row r="1946" hidden="1">
      <c r="B1946" s="339"/>
      <c r="C1946" s="86" t="str">
        <f t="shared" si="42"/>
        <v>complete❤️️Lien.300</v>
      </c>
      <c r="D1946" s="339"/>
      <c r="F1946" s="340"/>
    </row>
    <row r="1947" hidden="1">
      <c r="B1947" s="339"/>
      <c r="C1947" s="86" t="str">
        <f t="shared" si="42"/>
        <v>complete</v>
      </c>
      <c r="D1947" s="339"/>
      <c r="F1947" s="340"/>
    </row>
    <row r="1948" hidden="1">
      <c r="B1948" s="339"/>
      <c r="C1948" s="86" t="str">
        <f t="shared" si="42"/>
        <v>complete</v>
      </c>
      <c r="D1948" s="339"/>
      <c r="F1948" s="340"/>
    </row>
    <row r="1949" hidden="1">
      <c r="B1949" s="339"/>
      <c r="C1949" s="86" t="str">
        <f t="shared" si="42"/>
        <v>completeLien.3001</v>
      </c>
      <c r="D1949" s="339"/>
      <c r="F1949" s="340"/>
    </row>
    <row r="1950" hidden="1">
      <c r="B1950" s="339"/>
      <c r="C1950" s="86" t="str">
        <f t="shared" si="42"/>
        <v>completeLien.3002</v>
      </c>
      <c r="D1950" s="339"/>
      <c r="F1950" s="340"/>
    </row>
    <row r="1951" hidden="1">
      <c r="B1951" s="339"/>
      <c r="C1951" s="86" t="str">
        <f t="shared" si="42"/>
        <v>completeLien.3003</v>
      </c>
      <c r="D1951" s="339"/>
      <c r="F1951" s="340"/>
    </row>
    <row r="1952" hidden="1">
      <c r="B1952" s="339"/>
      <c r="C1952" s="86" t="str">
        <f t="shared" si="42"/>
        <v>completeLien.3004</v>
      </c>
      <c r="D1952" s="339"/>
      <c r="F1952" s="340"/>
    </row>
    <row r="1953" hidden="1">
      <c r="B1953" s="339"/>
      <c r="C1953" s="86" t="str">
        <f t="shared" si="42"/>
        <v>completeLien.3005</v>
      </c>
      <c r="D1953" s="339"/>
      <c r="F1953" s="340"/>
    </row>
    <row r="1954" hidden="1">
      <c r="B1954" s="339"/>
      <c r="C1954" s="86" t="str">
        <f t="shared" si="42"/>
        <v>completeLien.3006</v>
      </c>
      <c r="D1954" s="339"/>
      <c r="F1954" s="340"/>
    </row>
    <row r="1955" hidden="1">
      <c r="B1955" s="339"/>
      <c r="C1955" s="86" t="str">
        <f t="shared" si="42"/>
        <v>completeLien.3007</v>
      </c>
      <c r="D1955" s="339"/>
      <c r="F1955" s="340"/>
    </row>
    <row r="1956" hidden="1">
      <c r="B1956" s="339"/>
      <c r="C1956" s="86" t="str">
        <f t="shared" si="42"/>
        <v>completeLien.3008</v>
      </c>
      <c r="D1956" s="339"/>
      <c r="F1956" s="340"/>
    </row>
    <row r="1957" hidden="1">
      <c r="B1957" s="339"/>
      <c r="C1957" s="86" t="str">
        <f t="shared" si="42"/>
        <v>completeLien.3009</v>
      </c>
      <c r="D1957" s="339"/>
      <c r="F1957" s="340"/>
    </row>
    <row r="1958" hidden="1">
      <c r="B1958" s="339"/>
      <c r="C1958" s="86" t="str">
        <f t="shared" si="42"/>
        <v>completeLien.30010</v>
      </c>
      <c r="D1958" s="339"/>
      <c r="F1958" s="340"/>
    </row>
    <row r="1959" hidden="1">
      <c r="B1959" s="339"/>
      <c r="C1959" s="86" t="str">
        <f t="shared" si="42"/>
        <v>completeLien.30011</v>
      </c>
      <c r="D1959" s="339"/>
      <c r="F1959" s="340"/>
    </row>
    <row r="1960" hidden="1">
      <c r="B1960" s="339"/>
      <c r="C1960" s="86" t="str">
        <f t="shared" si="42"/>
        <v>completeLien.30012</v>
      </c>
      <c r="D1960" s="339"/>
      <c r="F1960" s="340"/>
    </row>
    <row r="1961" hidden="1">
      <c r="B1961" s="339"/>
      <c r="C1961" s="86" t="str">
        <f t="shared" si="42"/>
        <v>completeLien.30013</v>
      </c>
      <c r="D1961" s="339"/>
      <c r="F1961" s="340"/>
    </row>
    <row r="1962" hidden="1">
      <c r="B1962" s="339"/>
      <c r="C1962" s="86" t="str">
        <f t="shared" si="42"/>
        <v>completeLien.30014</v>
      </c>
      <c r="D1962" s="339"/>
      <c r="F1962" s="340"/>
    </row>
    <row r="1963" hidden="1">
      <c r="B1963" s="339"/>
      <c r="C1963" s="86" t="str">
        <f t="shared" si="42"/>
        <v>complete</v>
      </c>
      <c r="D1963" s="339"/>
      <c r="F1963" s="340"/>
    </row>
    <row r="1964" hidden="1">
      <c r="B1964" s="339"/>
      <c r="C1964" s="86" t="str">
        <f t="shared" si="42"/>
        <v>complete</v>
      </c>
      <c r="D1964" s="339"/>
      <c r="F1964" s="340"/>
    </row>
    <row r="1965" hidden="1">
      <c r="B1965" s="339"/>
      <c r="C1965" s="86" t="str">
        <f t="shared" si="42"/>
        <v>complete</v>
      </c>
      <c r="D1965" s="339"/>
      <c r="F1965" s="340"/>
    </row>
    <row r="1966" hidden="1">
      <c r="B1966" s="339"/>
      <c r="C1966" s="86" t="str">
        <f t="shared" si="42"/>
        <v>complete</v>
      </c>
      <c r="D1966" s="339"/>
      <c r="F1966" s="340"/>
    </row>
    <row r="1967" hidden="1">
      <c r="B1967" s="339"/>
      <c r="C1967" s="86" t="str">
        <f t="shared" si="42"/>
        <v>complete</v>
      </c>
      <c r="D1967" s="339"/>
      <c r="F1967" s="340"/>
    </row>
    <row r="1968" hidden="1">
      <c r="B1968" s="339"/>
      <c r="C1968" s="86" t="str">
        <f t="shared" si="42"/>
        <v>completeNick Name:Sim.300</v>
      </c>
      <c r="D1968" s="339"/>
      <c r="F1968" s="340"/>
    </row>
    <row r="1969" hidden="1">
      <c r="B1969" s="339"/>
      <c r="C1969" s="86" t="str">
        <f t="shared" si="42"/>
        <v>completeFull Name:Sim.300</v>
      </c>
      <c r="D1969" s="339"/>
      <c r="F1969" s="340"/>
    </row>
    <row r="1970" hidden="1">
      <c r="B1970" s="339"/>
      <c r="C1970" s="86" t="str">
        <f t="shared" si="42"/>
        <v>completePosition:Sim.300</v>
      </c>
      <c r="D1970" s="339"/>
      <c r="F1970" s="340"/>
    </row>
    <row r="1971" hidden="1">
      <c r="B1971" s="339"/>
      <c r="C1971" s="86" t="str">
        <f t="shared" si="42"/>
        <v>completeBirth:Sim.300</v>
      </c>
      <c r="D1971" s="339"/>
      <c r="F1971" s="340"/>
    </row>
    <row r="1972" hidden="1">
      <c r="B1972" s="339"/>
      <c r="C1972" s="86" t="str">
        <f t="shared" si="42"/>
        <v>completeExperience:Sim.300</v>
      </c>
      <c r="D1972" s="339"/>
      <c r="F1972" s="340"/>
    </row>
    <row r="1973" hidden="1">
      <c r="B1973" s="339"/>
      <c r="C1973" s="86" t="str">
        <f t="shared" si="42"/>
        <v>completeQuote:Sim.300</v>
      </c>
      <c r="D1973" s="339"/>
      <c r="F1973" s="340"/>
    </row>
    <row r="1974" hidden="1">
      <c r="B1974" s="339"/>
      <c r="C1974" s="86" t="str">
        <f t="shared" si="42"/>
        <v>complete</v>
      </c>
      <c r="D1974" s="339"/>
      <c r="F1974" s="340"/>
    </row>
    <row r="1975" hidden="1">
      <c r="B1975" s="339"/>
      <c r="C1975" s="86" t="str">
        <f t="shared" si="42"/>
        <v>complete</v>
      </c>
      <c r="D1975" s="339"/>
      <c r="F1975" s="340"/>
    </row>
    <row r="1976" hidden="1">
      <c r="B1976" s="339"/>
      <c r="C1976" s="86" t="str">
        <f t="shared" si="42"/>
        <v>complete❤️️Sim.300</v>
      </c>
      <c r="D1976" s="339"/>
      <c r="F1976" s="340"/>
    </row>
    <row r="1977" hidden="1">
      <c r="B1977" s="339"/>
      <c r="C1977" s="86" t="str">
        <f t="shared" si="42"/>
        <v>complete</v>
      </c>
      <c r="D1977" s="339"/>
      <c r="F1977" s="340"/>
    </row>
    <row r="1978" hidden="1">
      <c r="B1978" s="339"/>
      <c r="C1978" s="86" t="str">
        <f t="shared" si="42"/>
        <v>complete</v>
      </c>
      <c r="D1978" s="339"/>
      <c r="F1978" s="340"/>
    </row>
    <row r="1979" hidden="1">
      <c r="B1979" s="339"/>
      <c r="C1979" s="86" t="str">
        <f t="shared" si="42"/>
        <v>completeSim.3001</v>
      </c>
      <c r="D1979" s="339"/>
      <c r="F1979" s="340"/>
    </row>
    <row r="1980" hidden="1">
      <c r="B1980" s="339"/>
      <c r="C1980" s="86" t="str">
        <f t="shared" si="42"/>
        <v>completeSim.3002</v>
      </c>
      <c r="D1980" s="339"/>
      <c r="F1980" s="340"/>
    </row>
    <row r="1981" hidden="1">
      <c r="B1981" s="339"/>
      <c r="C1981" s="86" t="str">
        <f t="shared" si="42"/>
        <v>completeSim.3003</v>
      </c>
      <c r="D1981" s="339"/>
      <c r="F1981" s="340"/>
    </row>
    <row r="1982" hidden="1">
      <c r="B1982" s="339"/>
      <c r="C1982" s="86" t="str">
        <f t="shared" si="42"/>
        <v>completeSim.3004</v>
      </c>
      <c r="D1982" s="339"/>
      <c r="F1982" s="340"/>
    </row>
    <row r="1983" hidden="1">
      <c r="B1983" s="339"/>
      <c r="C1983" s="86" t="str">
        <f t="shared" si="42"/>
        <v>completeSim.3005</v>
      </c>
      <c r="D1983" s="339"/>
      <c r="F1983" s="340"/>
    </row>
    <row r="1984" hidden="1">
      <c r="B1984" s="339"/>
      <c r="C1984" s="86" t="str">
        <f t="shared" si="42"/>
        <v>completeSim.3006</v>
      </c>
      <c r="D1984" s="339"/>
      <c r="F1984" s="340"/>
    </row>
    <row r="1985" hidden="1">
      <c r="B1985" s="339"/>
      <c r="C1985" s="86" t="str">
        <f t="shared" si="42"/>
        <v>completeSim.3007</v>
      </c>
      <c r="D1985" s="339"/>
      <c r="F1985" s="340"/>
    </row>
    <row r="1986" hidden="1">
      <c r="B1986" s="339"/>
      <c r="C1986" s="86" t="str">
        <f t="shared" si="42"/>
        <v>completeSim.3008</v>
      </c>
      <c r="D1986" s="339"/>
      <c r="F1986" s="340"/>
    </row>
    <row r="1987" hidden="1">
      <c r="B1987" s="339"/>
      <c r="C1987" s="86" t="str">
        <f t="shared" si="42"/>
        <v>completeSim.3009</v>
      </c>
      <c r="D1987" s="339"/>
      <c r="F1987" s="340"/>
    </row>
    <row r="1988" hidden="1">
      <c r="B1988" s="339"/>
      <c r="C1988" s="86" t="str">
        <f t="shared" si="42"/>
        <v>completeSim.30010</v>
      </c>
      <c r="D1988" s="339"/>
      <c r="F1988" s="340"/>
    </row>
    <row r="1989" hidden="1">
      <c r="B1989" s="339"/>
      <c r="C1989" s="86" t="str">
        <f t="shared" si="42"/>
        <v>completeSim.30011</v>
      </c>
      <c r="D1989" s="339"/>
      <c r="F1989" s="340"/>
    </row>
    <row r="1990" hidden="1">
      <c r="B1990" s="339"/>
      <c r="C1990" s="86" t="str">
        <f t="shared" si="42"/>
        <v>completeSim.30012</v>
      </c>
      <c r="D1990" s="339"/>
      <c r="F1990" s="340"/>
    </row>
    <row r="1991" hidden="1">
      <c r="B1991" s="339"/>
      <c r="C1991" s="86" t="str">
        <f t="shared" si="42"/>
        <v>completeSim.30013</v>
      </c>
      <c r="D1991" s="339"/>
      <c r="F1991" s="340"/>
    </row>
    <row r="1992" hidden="1">
      <c r="B1992" s="339"/>
      <c r="C1992" s="86" t="str">
        <f t="shared" si="42"/>
        <v>completeSim.30014</v>
      </c>
      <c r="D1992" s="339"/>
      <c r="F1992" s="340"/>
    </row>
    <row r="1993" hidden="1">
      <c r="B1993" s="339"/>
      <c r="C1993" s="86" t="str">
        <f t="shared" si="42"/>
        <v>complete</v>
      </c>
      <c r="D1993" s="339"/>
      <c r="F1993" s="340"/>
    </row>
    <row r="1994" hidden="1">
      <c r="B1994" s="339"/>
      <c r="C1994" s="86" t="str">
        <f t="shared" si="42"/>
        <v>complete</v>
      </c>
      <c r="D1994" s="339"/>
      <c r="F1994" s="340"/>
    </row>
    <row r="1995" hidden="1">
      <c r="B1995" s="339"/>
      <c r="C1995" s="86" t="str">
        <f t="shared" si="42"/>
        <v>complete</v>
      </c>
      <c r="D1995" s="339"/>
      <c r="F1995" s="340"/>
    </row>
    <row r="1996" hidden="1">
      <c r="B1996" s="339"/>
      <c r="C1996" s="86" t="str">
        <f t="shared" si="42"/>
        <v>complete</v>
      </c>
      <c r="D1996" s="339"/>
      <c r="F1996" s="340"/>
    </row>
    <row r="1997" hidden="1">
      <c r="B1997" s="339"/>
      <c r="C1997" s="86" t="str">
        <f t="shared" si="42"/>
        <v>complete</v>
      </c>
      <c r="D1997" s="339"/>
      <c r="F1997" s="340"/>
    </row>
    <row r="1998" hidden="1">
      <c r="B1998" s="339"/>
      <c r="C1998" s="86" t="str">
        <f t="shared" si="42"/>
        <v>completeNick Name:Thuy.300</v>
      </c>
      <c r="D1998" s="339"/>
      <c r="F1998" s="340"/>
    </row>
    <row r="1999" hidden="1">
      <c r="B1999" s="339"/>
      <c r="C1999" s="86" t="str">
        <f t="shared" si="42"/>
        <v>completeFull Name:Thuy.300</v>
      </c>
      <c r="D1999" s="339"/>
      <c r="F1999" s="340"/>
    </row>
    <row r="2000" hidden="1">
      <c r="B2000" s="339"/>
      <c r="C2000" s="86" t="str">
        <f t="shared" si="42"/>
        <v>completePosition:Thuy.300</v>
      </c>
      <c r="D2000" s="339"/>
      <c r="F2000" s="340"/>
    </row>
    <row r="2001" hidden="1">
      <c r="B2001" s="339"/>
      <c r="C2001" s="86" t="str">
        <f t="shared" si="42"/>
        <v>completeBirth:Thuy.300</v>
      </c>
      <c r="D2001" s="339"/>
      <c r="F2001" s="340"/>
    </row>
    <row r="2002" hidden="1">
      <c r="B2002" s="339"/>
      <c r="C2002" s="86" t="str">
        <f t="shared" si="42"/>
        <v>completeExperience:Thuy.300</v>
      </c>
      <c r="D2002" s="339"/>
      <c r="F2002" s="340"/>
    </row>
    <row r="2003" hidden="1">
      <c r="B2003" s="339"/>
      <c r="C2003" s="86" t="str">
        <f t="shared" si="42"/>
        <v>completeQuote:Thuy.300</v>
      </c>
      <c r="D2003" s="339"/>
      <c r="F2003" s="340"/>
    </row>
    <row r="2004" hidden="1">
      <c r="B2004" s="339"/>
      <c r="C2004" s="86" t="str">
        <f t="shared" si="42"/>
        <v>complete</v>
      </c>
      <c r="D2004" s="339"/>
      <c r="F2004" s="340"/>
    </row>
    <row r="2005" hidden="1">
      <c r="B2005" s="339"/>
      <c r="C2005" s="86" t="str">
        <f t="shared" si="42"/>
        <v>complete</v>
      </c>
      <c r="D2005" s="339"/>
      <c r="F2005" s="340"/>
    </row>
    <row r="2006" hidden="1">
      <c r="B2006" s="339"/>
      <c r="C2006" s="86" t="str">
        <f t="shared" si="42"/>
        <v>complete❤️️Thuy.300</v>
      </c>
      <c r="D2006" s="339"/>
      <c r="F2006" s="340"/>
    </row>
    <row r="2007" hidden="1">
      <c r="B2007" s="339"/>
      <c r="C2007" s="86" t="str">
        <f t="shared" si="42"/>
        <v>complete</v>
      </c>
      <c r="D2007" s="339"/>
      <c r="F2007" s="340"/>
    </row>
    <row r="2008" hidden="1">
      <c r="B2008" s="339"/>
      <c r="C2008" s="86" t="str">
        <f t="shared" si="42"/>
        <v>complete</v>
      </c>
      <c r="D2008" s="339"/>
      <c r="F2008" s="340"/>
    </row>
    <row r="2009" hidden="1">
      <c r="B2009" s="339"/>
      <c r="C2009" s="86" t="str">
        <f t="shared" si="42"/>
        <v>completeThuy.3001</v>
      </c>
      <c r="D2009" s="339"/>
      <c r="F2009" s="340"/>
    </row>
    <row r="2010" hidden="1">
      <c r="B2010" s="339"/>
      <c r="C2010" s="86" t="str">
        <f t="shared" si="42"/>
        <v>completeThuy.3002</v>
      </c>
      <c r="D2010" s="339"/>
      <c r="F2010" s="340"/>
    </row>
    <row r="2011" hidden="1">
      <c r="B2011" s="339"/>
      <c r="C2011" s="86" t="str">
        <f t="shared" si="42"/>
        <v>completeThuy.3003</v>
      </c>
      <c r="D2011" s="339"/>
      <c r="F2011" s="340"/>
    </row>
    <row r="2012" hidden="1">
      <c r="B2012" s="339"/>
      <c r="C2012" s="86" t="str">
        <f t="shared" si="42"/>
        <v>completeThuy.3004</v>
      </c>
      <c r="D2012" s="339"/>
      <c r="F2012" s="340"/>
    </row>
    <row r="2013" hidden="1">
      <c r="B2013" s="339"/>
      <c r="C2013" s="86" t="str">
        <f t="shared" si="42"/>
        <v>completeThuy.3005</v>
      </c>
      <c r="D2013" s="339"/>
      <c r="F2013" s="340"/>
    </row>
    <row r="2014" hidden="1">
      <c r="B2014" s="339"/>
      <c r="C2014" s="86" t="str">
        <f t="shared" si="42"/>
        <v>completeThuy.3006</v>
      </c>
      <c r="D2014" s="339"/>
      <c r="F2014" s="340"/>
    </row>
    <row r="2015" hidden="1">
      <c r="B2015" s="339"/>
      <c r="C2015" s="86" t="str">
        <f t="shared" si="42"/>
        <v>completeThuy.3007</v>
      </c>
      <c r="D2015" s="339"/>
      <c r="F2015" s="340"/>
    </row>
    <row r="2016" hidden="1">
      <c r="B2016" s="339"/>
      <c r="C2016" s="86" t="str">
        <f t="shared" si="42"/>
        <v>completeThuy.3008</v>
      </c>
      <c r="D2016" s="339"/>
      <c r="F2016" s="340"/>
    </row>
    <row r="2017" hidden="1">
      <c r="B2017" s="339"/>
      <c r="C2017" s="86" t="str">
        <f t="shared" si="42"/>
        <v>completeThuy.3009</v>
      </c>
      <c r="D2017" s="339"/>
      <c r="F2017" s="340"/>
    </row>
    <row r="2018" hidden="1">
      <c r="B2018" s="339"/>
      <c r="C2018" s="86" t="str">
        <f t="shared" si="42"/>
        <v>completeThuy.30010</v>
      </c>
      <c r="D2018" s="339"/>
      <c r="F2018" s="340"/>
    </row>
    <row r="2019" hidden="1">
      <c r="B2019" s="339"/>
      <c r="C2019" s="86" t="str">
        <f t="shared" si="42"/>
        <v>completeThuy.30011</v>
      </c>
      <c r="D2019" s="339"/>
      <c r="F2019" s="340"/>
    </row>
    <row r="2020" hidden="1">
      <c r="B2020" s="339"/>
      <c r="C2020" s="86" t="str">
        <f t="shared" si="42"/>
        <v>completeThuy.30012</v>
      </c>
      <c r="D2020" s="339"/>
      <c r="F2020" s="340"/>
    </row>
    <row r="2021" hidden="1">
      <c r="B2021" s="339"/>
      <c r="C2021" s="86" t="str">
        <f t="shared" si="42"/>
        <v>completeThuy.30013</v>
      </c>
      <c r="D2021" s="339"/>
      <c r="F2021" s="340"/>
    </row>
    <row r="2022" hidden="1">
      <c r="B2022" s="339"/>
      <c r="C2022" s="86" t="str">
        <f t="shared" si="42"/>
        <v>completeThuy.30014</v>
      </c>
      <c r="D2022" s="339"/>
      <c r="F2022" s="340"/>
    </row>
    <row r="2023" hidden="1">
      <c r="B2023" s="339"/>
      <c r="C2023" s="86" t="str">
        <f t="shared" si="42"/>
        <v>complete</v>
      </c>
      <c r="D2023" s="339"/>
      <c r="F2023" s="340"/>
    </row>
    <row r="2024" hidden="1">
      <c r="B2024" s="339"/>
      <c r="C2024" s="86" t="str">
        <f t="shared" si="42"/>
        <v>complete</v>
      </c>
      <c r="D2024" s="339"/>
      <c r="F2024" s="340"/>
    </row>
    <row r="2025" hidden="1">
      <c r="B2025" s="339"/>
      <c r="C2025" s="86" t="str">
        <f t="shared" si="42"/>
        <v>complete</v>
      </c>
      <c r="D2025" s="339"/>
      <c r="F2025" s="340"/>
    </row>
    <row r="2026" hidden="1">
      <c r="B2026" s="339"/>
      <c r="C2026" s="86" t="str">
        <f t="shared" si="42"/>
        <v>complete</v>
      </c>
      <c r="D2026" s="339"/>
      <c r="F2026" s="340"/>
    </row>
    <row r="2027" hidden="1">
      <c r="B2027" s="339"/>
      <c r="C2027" s="86" t="str">
        <f t="shared" si="42"/>
        <v>complete</v>
      </c>
      <c r="D2027" s="339"/>
      <c r="F2027" s="340"/>
    </row>
    <row r="2028" hidden="1">
      <c r="B2028" s="339"/>
      <c r="C2028" s="86" t="str">
        <f t="shared" si="42"/>
        <v>completeNick Name:Hieu.100</v>
      </c>
      <c r="D2028" s="339"/>
      <c r="F2028" s="340"/>
    </row>
    <row r="2029" hidden="1">
      <c r="B2029" s="339"/>
      <c r="C2029" s="86" t="str">
        <f t="shared" si="42"/>
        <v>completeFull Name:Hieu.100</v>
      </c>
      <c r="D2029" s="339"/>
      <c r="F2029" s="340"/>
    </row>
    <row r="2030" hidden="1">
      <c r="B2030" s="339"/>
      <c r="C2030" s="86" t="str">
        <f t="shared" si="42"/>
        <v>completePosition:Hieu.100</v>
      </c>
      <c r="D2030" s="339"/>
      <c r="F2030" s="340"/>
    </row>
    <row r="2031" hidden="1">
      <c r="B2031" s="339"/>
      <c r="C2031" s="86" t="str">
        <f t="shared" si="42"/>
        <v>completeBirth:Hieu.100</v>
      </c>
      <c r="D2031" s="339"/>
      <c r="F2031" s="340"/>
    </row>
    <row r="2032" hidden="1">
      <c r="B2032" s="339"/>
      <c r="C2032" s="86" t="str">
        <f t="shared" si="42"/>
        <v>completeExperience:Hieu.100</v>
      </c>
      <c r="D2032" s="339"/>
      <c r="F2032" s="340"/>
    </row>
    <row r="2033" hidden="1">
      <c r="B2033" s="339"/>
      <c r="C2033" s="86" t="str">
        <f t="shared" si="42"/>
        <v>completeQuote:Hieu.100</v>
      </c>
      <c r="D2033" s="339"/>
      <c r="F2033" s="340"/>
    </row>
    <row r="2034" hidden="1">
      <c r="B2034" s="339"/>
      <c r="C2034" s="86" t="str">
        <f t="shared" si="42"/>
        <v>complete</v>
      </c>
      <c r="D2034" s="339"/>
      <c r="F2034" s="340"/>
    </row>
    <row r="2035" hidden="1">
      <c r="B2035" s="339"/>
      <c r="C2035" s="86" t="str">
        <f t="shared" si="42"/>
        <v>complete</v>
      </c>
      <c r="D2035" s="339"/>
      <c r="F2035" s="340"/>
    </row>
    <row r="2036" hidden="1">
      <c r="B2036" s="339"/>
      <c r="C2036" s="86" t="str">
        <f t="shared" si="42"/>
        <v>complete❤️️Hieu.100</v>
      </c>
      <c r="D2036" s="339"/>
      <c r="F2036" s="340"/>
    </row>
    <row r="2037" hidden="1">
      <c r="B2037" s="339"/>
      <c r="C2037" s="86" t="str">
        <f t="shared" si="42"/>
        <v>complete</v>
      </c>
      <c r="D2037" s="339"/>
      <c r="F2037" s="340"/>
    </row>
    <row r="2038" hidden="1">
      <c r="B2038" s="339"/>
      <c r="C2038" s="86" t="str">
        <f t="shared" si="42"/>
        <v>complete</v>
      </c>
      <c r="D2038" s="339"/>
      <c r="F2038" s="340"/>
    </row>
    <row r="2039" hidden="1">
      <c r="B2039" s="339"/>
      <c r="C2039" s="86" t="str">
        <f t="shared" si="42"/>
        <v>completeHieu.1001</v>
      </c>
      <c r="D2039" s="339"/>
      <c r="F2039" s="340"/>
    </row>
    <row r="2040" hidden="1">
      <c r="B2040" s="339"/>
      <c r="C2040" s="86" t="str">
        <f t="shared" si="42"/>
        <v>completeHieu.1002</v>
      </c>
      <c r="D2040" s="339"/>
      <c r="F2040" s="340"/>
    </row>
    <row r="2041" hidden="1">
      <c r="B2041" s="339"/>
      <c r="C2041" s="86" t="str">
        <f t="shared" si="42"/>
        <v>completeHieu.1003</v>
      </c>
      <c r="D2041" s="339"/>
      <c r="F2041" s="340"/>
    </row>
    <row r="2042" hidden="1">
      <c r="B2042" s="339"/>
      <c r="C2042" s="86" t="str">
        <f t="shared" si="42"/>
        <v>completeHieu.1004</v>
      </c>
      <c r="D2042" s="339"/>
      <c r="F2042" s="340"/>
    </row>
    <row r="2043" hidden="1">
      <c r="B2043" s="339"/>
      <c r="C2043" s="86" t="str">
        <f t="shared" si="42"/>
        <v>completeHieu.1005</v>
      </c>
      <c r="D2043" s="339"/>
      <c r="F2043" s="340"/>
    </row>
    <row r="2044" hidden="1">
      <c r="B2044" s="339"/>
      <c r="C2044" s="86" t="str">
        <f t="shared" si="42"/>
        <v>completeHieu.1006</v>
      </c>
      <c r="D2044" s="339"/>
      <c r="F2044" s="340"/>
    </row>
    <row r="2045" hidden="1">
      <c r="B2045" s="339"/>
      <c r="C2045" s="86" t="str">
        <f t="shared" si="42"/>
        <v>completeHieu.1007</v>
      </c>
      <c r="D2045" s="339"/>
      <c r="F2045" s="340"/>
    </row>
    <row r="2046" hidden="1">
      <c r="B2046" s="339"/>
      <c r="C2046" s="86" t="str">
        <f t="shared" si="42"/>
        <v>completeHieu.1008</v>
      </c>
      <c r="D2046" s="339"/>
      <c r="F2046" s="340"/>
    </row>
    <row r="2047" hidden="1">
      <c r="B2047" s="339"/>
      <c r="C2047" s="86" t="str">
        <f t="shared" si="42"/>
        <v>completeHieu.1009</v>
      </c>
      <c r="D2047" s="339"/>
      <c r="F2047" s="340"/>
    </row>
    <row r="2048" hidden="1">
      <c r="B2048" s="339"/>
      <c r="C2048" s="86" t="str">
        <f t="shared" si="42"/>
        <v>completeHieu.10010</v>
      </c>
      <c r="D2048" s="339"/>
      <c r="F2048" s="340"/>
    </row>
    <row r="2049" hidden="1">
      <c r="B2049" s="339"/>
      <c r="C2049" s="86" t="str">
        <f t="shared" si="42"/>
        <v>completeHieu.10011</v>
      </c>
      <c r="D2049" s="339"/>
      <c r="F2049" s="340"/>
    </row>
    <row r="2050" hidden="1">
      <c r="B2050" s="339"/>
      <c r="C2050" s="86" t="str">
        <f t="shared" si="42"/>
        <v>completeHieu.10012</v>
      </c>
      <c r="D2050" s="339"/>
      <c r="F2050" s="340"/>
    </row>
    <row r="2051" hidden="1">
      <c r="B2051" s="339"/>
      <c r="C2051" s="86" t="str">
        <f t="shared" si="42"/>
        <v>completeHieu.10013</v>
      </c>
      <c r="D2051" s="339"/>
      <c r="F2051" s="340"/>
    </row>
    <row r="2052" hidden="1">
      <c r="B2052" s="339"/>
      <c r="C2052" s="86" t="str">
        <f t="shared" si="42"/>
        <v>completeHieu.10014</v>
      </c>
      <c r="D2052" s="339"/>
      <c r="F2052" s="340"/>
    </row>
    <row r="2053" hidden="1">
      <c r="B2053" s="339"/>
      <c r="C2053" s="86" t="str">
        <f t="shared" si="42"/>
        <v>complete</v>
      </c>
      <c r="D2053" s="339"/>
      <c r="F2053" s="340"/>
    </row>
    <row r="2054" hidden="1">
      <c r="B2054" s="339"/>
      <c r="C2054" s="86" t="str">
        <f t="shared" si="42"/>
        <v>complete</v>
      </c>
      <c r="D2054" s="339"/>
      <c r="F2054" s="340"/>
    </row>
    <row r="2055" hidden="1">
      <c r="B2055" s="339"/>
      <c r="C2055" s="86" t="str">
        <f t="shared" si="42"/>
        <v>complete</v>
      </c>
      <c r="D2055" s="339"/>
      <c r="F2055" s="340"/>
    </row>
    <row r="2056" hidden="1">
      <c r="B2056" s="339"/>
      <c r="C2056" s="86" t="str">
        <f t="shared" si="42"/>
        <v>complete</v>
      </c>
      <c r="D2056" s="339"/>
      <c r="F2056" s="340"/>
    </row>
    <row r="2057" hidden="1">
      <c r="B2057" s="339"/>
      <c r="C2057" s="86" t="str">
        <f t="shared" si="42"/>
        <v>complete</v>
      </c>
      <c r="D2057" s="339"/>
      <c r="F2057" s="340"/>
    </row>
    <row r="2058" hidden="1">
      <c r="B2058" s="339"/>
      <c r="C2058" s="86" t="str">
        <f t="shared" si="42"/>
        <v>completeNick Name:Trang.300</v>
      </c>
      <c r="D2058" s="339"/>
      <c r="F2058" s="340"/>
    </row>
    <row r="2059" hidden="1">
      <c r="B2059" s="339"/>
      <c r="C2059" s="86" t="str">
        <f t="shared" si="42"/>
        <v>completeFull Name:Trang.300</v>
      </c>
      <c r="D2059" s="339"/>
      <c r="F2059" s="340"/>
    </row>
    <row r="2060" hidden="1">
      <c r="B2060" s="339"/>
      <c r="C2060" s="86" t="str">
        <f t="shared" si="42"/>
        <v>completePosition:Trang.300</v>
      </c>
      <c r="D2060" s="339"/>
      <c r="F2060" s="340"/>
    </row>
    <row r="2061" hidden="1">
      <c r="B2061" s="339"/>
      <c r="C2061" s="86" t="str">
        <f t="shared" si="42"/>
        <v>completeBirth:Trang.300</v>
      </c>
      <c r="D2061" s="339"/>
      <c r="F2061" s="340"/>
    </row>
    <row r="2062" hidden="1">
      <c r="B2062" s="339"/>
      <c r="C2062" s="86" t="str">
        <f t="shared" si="42"/>
        <v>completeExperience:Trang.300</v>
      </c>
      <c r="D2062" s="339"/>
      <c r="F2062" s="340"/>
    </row>
    <row r="2063" hidden="1">
      <c r="B2063" s="339"/>
      <c r="C2063" s="86" t="str">
        <f t="shared" si="42"/>
        <v>completeQuote:Trang.300</v>
      </c>
      <c r="D2063" s="339"/>
      <c r="F2063" s="340"/>
    </row>
    <row r="2064" hidden="1">
      <c r="B2064" s="339"/>
      <c r="C2064" s="86" t="str">
        <f t="shared" si="42"/>
        <v>complete</v>
      </c>
      <c r="D2064" s="339"/>
      <c r="F2064" s="340"/>
    </row>
    <row r="2065" hidden="1">
      <c r="B2065" s="339"/>
      <c r="C2065" s="86" t="str">
        <f t="shared" si="42"/>
        <v>complete</v>
      </c>
      <c r="D2065" s="339"/>
      <c r="F2065" s="340"/>
    </row>
    <row r="2066" hidden="1">
      <c r="B2066" s="339"/>
      <c r="C2066" s="86" t="str">
        <f t="shared" si="42"/>
        <v>complete❤️️Trang.300</v>
      </c>
      <c r="D2066" s="339"/>
      <c r="F2066" s="340"/>
    </row>
    <row r="2067" hidden="1">
      <c r="B2067" s="339"/>
      <c r="C2067" s="86" t="str">
        <f t="shared" si="42"/>
        <v>complete</v>
      </c>
      <c r="D2067" s="339"/>
      <c r="F2067" s="340"/>
    </row>
    <row r="2068" hidden="1">
      <c r="B2068" s="339"/>
      <c r="C2068" s="86" t="str">
        <f t="shared" si="42"/>
        <v>complete</v>
      </c>
      <c r="D2068" s="339"/>
      <c r="F2068" s="340"/>
    </row>
    <row r="2069" hidden="1">
      <c r="B2069" s="339"/>
      <c r="C2069" s="86" t="str">
        <f t="shared" si="42"/>
        <v>completeTrang.3001</v>
      </c>
      <c r="D2069" s="339"/>
      <c r="F2069" s="340"/>
    </row>
    <row r="2070" hidden="1">
      <c r="B2070" s="339"/>
      <c r="C2070" s="86" t="str">
        <f t="shared" si="42"/>
        <v>completeTrang.3002</v>
      </c>
      <c r="D2070" s="339"/>
      <c r="F2070" s="340"/>
    </row>
    <row r="2071" hidden="1">
      <c r="B2071" s="339"/>
      <c r="C2071" s="86" t="str">
        <f t="shared" si="42"/>
        <v>completeTrang.3003</v>
      </c>
      <c r="D2071" s="339"/>
      <c r="F2071" s="340"/>
    </row>
    <row r="2072" hidden="1">
      <c r="B2072" s="339"/>
      <c r="C2072" s="86" t="str">
        <f t="shared" si="42"/>
        <v>completeTrang.3004</v>
      </c>
      <c r="D2072" s="339"/>
      <c r="F2072" s="340"/>
    </row>
    <row r="2073" hidden="1">
      <c r="B2073" s="339"/>
      <c r="C2073" s="86" t="str">
        <f t="shared" si="42"/>
        <v>completeTrang.3005</v>
      </c>
      <c r="D2073" s="339"/>
      <c r="F2073" s="340"/>
    </row>
    <row r="2074" hidden="1">
      <c r="B2074" s="339"/>
      <c r="C2074" s="86" t="str">
        <f t="shared" si="42"/>
        <v>completeTrang.3006</v>
      </c>
      <c r="D2074" s="339"/>
      <c r="F2074" s="340"/>
    </row>
    <row r="2075" hidden="1">
      <c r="B2075" s="339"/>
      <c r="C2075" s="86" t="str">
        <f t="shared" si="42"/>
        <v>completeTrang.3007</v>
      </c>
      <c r="D2075" s="339"/>
      <c r="F2075" s="340"/>
    </row>
    <row r="2076" hidden="1">
      <c r="B2076" s="339"/>
      <c r="C2076" s="86" t="str">
        <f t="shared" si="42"/>
        <v>completeTrang.3008</v>
      </c>
      <c r="D2076" s="339"/>
      <c r="F2076" s="340"/>
    </row>
    <row r="2077" hidden="1">
      <c r="B2077" s="339"/>
      <c r="C2077" s="86" t="str">
        <f t="shared" si="42"/>
        <v>completeTrang.3009</v>
      </c>
      <c r="D2077" s="339"/>
      <c r="F2077" s="340"/>
    </row>
    <row r="2078" hidden="1">
      <c r="B2078" s="339"/>
      <c r="C2078" s="86" t="str">
        <f t="shared" si="42"/>
        <v>completeTrang.30010</v>
      </c>
      <c r="D2078" s="339"/>
      <c r="F2078" s="340"/>
    </row>
    <row r="2079" hidden="1">
      <c r="B2079" s="339"/>
      <c r="C2079" s="86" t="str">
        <f t="shared" si="42"/>
        <v>completeTrang.30011</v>
      </c>
      <c r="D2079" s="339"/>
      <c r="F2079" s="340"/>
    </row>
    <row r="2080" hidden="1">
      <c r="B2080" s="339"/>
      <c r="C2080" s="86" t="str">
        <f t="shared" si="42"/>
        <v>completeTrang.30012</v>
      </c>
      <c r="D2080" s="339"/>
      <c r="F2080" s="340"/>
    </row>
    <row r="2081" hidden="1">
      <c r="B2081" s="339"/>
      <c r="C2081" s="86" t="str">
        <f t="shared" si="42"/>
        <v>completeTrang.30013</v>
      </c>
      <c r="D2081" s="339"/>
      <c r="F2081" s="340"/>
    </row>
    <row r="2082" hidden="1">
      <c r="B2082" s="339"/>
      <c r="C2082" s="86" t="str">
        <f t="shared" si="42"/>
        <v>completeTrang.30014</v>
      </c>
      <c r="D2082" s="339"/>
      <c r="F2082" s="340"/>
    </row>
    <row r="2083" hidden="1">
      <c r="B2083" s="339"/>
      <c r="C2083" s="86" t="str">
        <f t="shared" si="42"/>
        <v>complete</v>
      </c>
      <c r="D2083" s="339"/>
      <c r="F2083" s="340"/>
    </row>
    <row r="2084" hidden="1">
      <c r="B2084" s="339"/>
      <c r="C2084" s="86" t="str">
        <f t="shared" si="42"/>
        <v>complete</v>
      </c>
      <c r="D2084" s="339"/>
      <c r="F2084" s="340"/>
    </row>
    <row r="2085" hidden="1">
      <c r="B2085" s="339"/>
      <c r="C2085" s="86" t="str">
        <f t="shared" si="42"/>
        <v>complete</v>
      </c>
      <c r="D2085" s="339"/>
      <c r="F2085" s="340"/>
    </row>
    <row r="2086" hidden="1">
      <c r="B2086" s="339"/>
      <c r="C2086" s="86" t="str">
        <f t="shared" si="42"/>
        <v>complete</v>
      </c>
      <c r="D2086" s="339"/>
      <c r="F2086" s="340"/>
    </row>
    <row r="2087" hidden="1">
      <c r="B2087" s="339"/>
      <c r="C2087" s="86" t="str">
        <f t="shared" si="42"/>
        <v>complete</v>
      </c>
      <c r="D2087" s="339"/>
      <c r="F2087" s="340"/>
    </row>
    <row r="2088" hidden="1">
      <c r="B2088" s="339"/>
      <c r="C2088" s="86" t="str">
        <f t="shared" si="42"/>
        <v>completeNick Name:Duy Anh.200</v>
      </c>
      <c r="D2088" s="339"/>
      <c r="F2088" s="340"/>
    </row>
    <row r="2089" hidden="1">
      <c r="B2089" s="339"/>
      <c r="C2089" s="86" t="str">
        <f t="shared" si="42"/>
        <v>completeFull Name:Duy Anh.200</v>
      </c>
      <c r="D2089" s="339"/>
      <c r="F2089" s="340"/>
    </row>
    <row r="2090" hidden="1">
      <c r="B2090" s="339"/>
      <c r="C2090" s="86" t="str">
        <f t="shared" si="42"/>
        <v>completePosition:Duy Anh.200</v>
      </c>
      <c r="D2090" s="339"/>
      <c r="F2090" s="340"/>
    </row>
    <row r="2091" hidden="1">
      <c r="B2091" s="339"/>
      <c r="C2091" s="86" t="str">
        <f t="shared" si="42"/>
        <v>completeBirth:Duy Anh.200</v>
      </c>
      <c r="D2091" s="339"/>
      <c r="F2091" s="340"/>
    </row>
    <row r="2092" hidden="1">
      <c r="B2092" s="339"/>
      <c r="C2092" s="86" t="str">
        <f t="shared" si="42"/>
        <v>completeExperience:Duy Anh.200</v>
      </c>
      <c r="D2092" s="339"/>
      <c r="F2092" s="340"/>
    </row>
    <row r="2093" hidden="1">
      <c r="B2093" s="339"/>
      <c r="C2093" s="86" t="str">
        <f t="shared" si="42"/>
        <v>completeQuote:Duy Anh.200</v>
      </c>
      <c r="D2093" s="339"/>
      <c r="F2093" s="340"/>
    </row>
    <row r="2094" hidden="1">
      <c r="B2094" s="339"/>
      <c r="C2094" s="86" t="str">
        <f t="shared" si="42"/>
        <v>complete</v>
      </c>
      <c r="D2094" s="339"/>
      <c r="F2094" s="340"/>
    </row>
    <row r="2095" hidden="1">
      <c r="B2095" s="339"/>
      <c r="C2095" s="86" t="str">
        <f t="shared" si="42"/>
        <v>complete</v>
      </c>
      <c r="D2095" s="339"/>
      <c r="F2095" s="340"/>
    </row>
    <row r="2096" hidden="1">
      <c r="B2096" s="339"/>
      <c r="C2096" s="86" t="str">
        <f t="shared" si="42"/>
        <v>complete❤️️Duy Anh.200</v>
      </c>
      <c r="D2096" s="339"/>
      <c r="F2096" s="340"/>
    </row>
    <row r="2097" hidden="1">
      <c r="B2097" s="339"/>
      <c r="C2097" s="86" t="str">
        <f t="shared" si="42"/>
        <v>complete</v>
      </c>
      <c r="D2097" s="339"/>
      <c r="F2097" s="340"/>
    </row>
    <row r="2098" hidden="1">
      <c r="B2098" s="339"/>
      <c r="C2098" s="86" t="str">
        <f t="shared" si="42"/>
        <v>complete</v>
      </c>
      <c r="D2098" s="339"/>
      <c r="F2098" s="340"/>
    </row>
    <row r="2099" hidden="1">
      <c r="B2099" s="339"/>
      <c r="C2099" s="86" t="str">
        <f t="shared" si="42"/>
        <v>completeDuy Anh.2001</v>
      </c>
      <c r="D2099" s="339"/>
      <c r="F2099" s="340"/>
    </row>
    <row r="2100" hidden="1">
      <c r="B2100" s="339"/>
      <c r="C2100" s="86" t="str">
        <f t="shared" si="42"/>
        <v>completeDuy Anh.2002</v>
      </c>
      <c r="D2100" s="339"/>
      <c r="F2100" s="340"/>
    </row>
    <row r="2101" hidden="1">
      <c r="B2101" s="339"/>
      <c r="C2101" s="86" t="str">
        <f t="shared" si="42"/>
        <v>completeDuy Anh.2003</v>
      </c>
      <c r="D2101" s="339"/>
      <c r="F2101" s="340"/>
    </row>
    <row r="2102" hidden="1">
      <c r="B2102" s="339"/>
      <c r="C2102" s="86" t="str">
        <f t="shared" si="42"/>
        <v>completeDuy Anh.2004</v>
      </c>
      <c r="D2102" s="339"/>
      <c r="F2102" s="340"/>
    </row>
    <row r="2103" hidden="1">
      <c r="B2103" s="339"/>
      <c r="C2103" s="86" t="str">
        <f t="shared" si="42"/>
        <v>completeDuy Anh.2005</v>
      </c>
      <c r="D2103" s="339"/>
      <c r="F2103" s="340"/>
    </row>
    <row r="2104" hidden="1">
      <c r="B2104" s="339"/>
      <c r="C2104" s="86" t="str">
        <f t="shared" si="42"/>
        <v>completeDuy Anh.2006</v>
      </c>
      <c r="D2104" s="339"/>
      <c r="F2104" s="340"/>
    </row>
    <row r="2105" hidden="1">
      <c r="B2105" s="339"/>
      <c r="C2105" s="86" t="str">
        <f t="shared" si="42"/>
        <v>completeDuy Anh.2007</v>
      </c>
      <c r="D2105" s="339"/>
      <c r="F2105" s="340"/>
    </row>
    <row r="2106" hidden="1">
      <c r="B2106" s="339"/>
      <c r="C2106" s="86" t="str">
        <f t="shared" si="42"/>
        <v>completeDuy Anh.2008</v>
      </c>
      <c r="D2106" s="339"/>
      <c r="F2106" s="340"/>
    </row>
    <row r="2107" hidden="1">
      <c r="B2107" s="339"/>
      <c r="C2107" s="86" t="str">
        <f t="shared" si="42"/>
        <v>completeDuy Anh.2009</v>
      </c>
      <c r="D2107" s="339"/>
      <c r="F2107" s="340"/>
    </row>
    <row r="2108" hidden="1">
      <c r="B2108" s="339"/>
      <c r="C2108" s="86" t="str">
        <f t="shared" si="42"/>
        <v>completeDuy Anh.20010</v>
      </c>
      <c r="D2108" s="339"/>
      <c r="F2108" s="340"/>
    </row>
    <row r="2109" hidden="1">
      <c r="B2109" s="339"/>
      <c r="C2109" s="86" t="str">
        <f t="shared" si="42"/>
        <v>completeDuy Anh.20011</v>
      </c>
      <c r="D2109" s="339"/>
      <c r="F2109" s="340"/>
    </row>
    <row r="2110" hidden="1">
      <c r="B2110" s="339"/>
      <c r="C2110" s="86" t="str">
        <f t="shared" si="42"/>
        <v>completeDuy Anh.20012</v>
      </c>
      <c r="D2110" s="339"/>
      <c r="F2110" s="340"/>
    </row>
    <row r="2111" hidden="1">
      <c r="B2111" s="339"/>
      <c r="C2111" s="86" t="str">
        <f t="shared" si="42"/>
        <v>completeDuy Anh.20013</v>
      </c>
      <c r="D2111" s="339"/>
      <c r="F2111" s="340"/>
    </row>
    <row r="2112" hidden="1">
      <c r="B2112" s="339"/>
      <c r="C2112" s="86" t="str">
        <f t="shared" si="42"/>
        <v>completeDuy Anh.20014</v>
      </c>
      <c r="D2112" s="339"/>
      <c r="F2112" s="340"/>
    </row>
    <row r="2113" hidden="1">
      <c r="B2113" s="339"/>
      <c r="C2113" s="86" t="str">
        <f t="shared" si="42"/>
        <v>complete</v>
      </c>
      <c r="D2113" s="339"/>
      <c r="F2113" s="340"/>
    </row>
    <row r="2114" hidden="1">
      <c r="B2114" s="339"/>
      <c r="C2114" s="86" t="str">
        <f t="shared" si="42"/>
        <v>complete</v>
      </c>
      <c r="D2114" s="339"/>
      <c r="F2114" s="340"/>
    </row>
    <row r="2115" hidden="1">
      <c r="B2115" s="339"/>
      <c r="C2115" s="86" t="str">
        <f t="shared" si="42"/>
        <v>complete</v>
      </c>
      <c r="D2115" s="339"/>
      <c r="F2115" s="340"/>
    </row>
    <row r="2116" hidden="1">
      <c r="B2116" s="339"/>
      <c r="C2116" s="86" t="str">
        <f t="shared" si="42"/>
        <v>complete</v>
      </c>
      <c r="D2116" s="339"/>
      <c r="F2116" s="340"/>
    </row>
    <row r="2117" hidden="1">
      <c r="B2117" s="339"/>
      <c r="C2117" s="86" t="str">
        <f t="shared" si="42"/>
        <v>complete</v>
      </c>
      <c r="D2117" s="339"/>
      <c r="F2117" s="340"/>
    </row>
    <row r="2118" hidden="1">
      <c r="B2118" s="339"/>
      <c r="C2118" s="86" t="str">
        <f t="shared" si="42"/>
        <v>completeNick Name:Tien.200</v>
      </c>
      <c r="D2118" s="339"/>
      <c r="F2118" s="340"/>
    </row>
    <row r="2119" hidden="1">
      <c r="B2119" s="339"/>
      <c r="C2119" s="86" t="str">
        <f t="shared" si="42"/>
        <v>completeFull Name:Tien.200</v>
      </c>
      <c r="D2119" s="339"/>
      <c r="F2119" s="340"/>
    </row>
    <row r="2120" hidden="1">
      <c r="B2120" s="339"/>
      <c r="C2120" s="86" t="str">
        <f t="shared" si="42"/>
        <v>completePosition:Tien.200</v>
      </c>
      <c r="D2120" s="339"/>
      <c r="F2120" s="340"/>
    </row>
    <row r="2121" hidden="1">
      <c r="B2121" s="339"/>
      <c r="C2121" s="86" t="str">
        <f t="shared" si="42"/>
        <v>completeBirth:Tien.200</v>
      </c>
      <c r="D2121" s="339"/>
      <c r="F2121" s="340"/>
    </row>
    <row r="2122" hidden="1">
      <c r="B2122" s="339"/>
      <c r="C2122" s="86" t="str">
        <f t="shared" si="42"/>
        <v>completeExperience:Tien.200</v>
      </c>
      <c r="D2122" s="339"/>
      <c r="F2122" s="340"/>
    </row>
    <row r="2123" hidden="1">
      <c r="B2123" s="339"/>
      <c r="C2123" s="86" t="str">
        <f t="shared" si="42"/>
        <v>completeQuote:Tien.200</v>
      </c>
      <c r="D2123" s="339"/>
      <c r="F2123" s="340"/>
    </row>
    <row r="2124" hidden="1">
      <c r="B2124" s="339"/>
      <c r="C2124" s="86" t="str">
        <f t="shared" si="42"/>
        <v>complete</v>
      </c>
      <c r="D2124" s="339"/>
      <c r="F2124" s="340"/>
    </row>
    <row r="2125" hidden="1">
      <c r="B2125" s="339"/>
      <c r="C2125" s="86" t="str">
        <f t="shared" si="42"/>
        <v>complete</v>
      </c>
      <c r="D2125" s="339"/>
      <c r="F2125" s="340"/>
    </row>
    <row r="2126" hidden="1">
      <c r="B2126" s="339"/>
      <c r="C2126" s="86" t="str">
        <f t="shared" si="42"/>
        <v>complete❤️️Tien.200</v>
      </c>
      <c r="D2126" s="339"/>
      <c r="F2126" s="340"/>
    </row>
    <row r="2127" hidden="1">
      <c r="B2127" s="339"/>
      <c r="C2127" s="86" t="str">
        <f t="shared" si="42"/>
        <v>complete</v>
      </c>
      <c r="D2127" s="339"/>
      <c r="F2127" s="340"/>
    </row>
    <row r="2128" hidden="1">
      <c r="B2128" s="339"/>
      <c r="C2128" s="86" t="str">
        <f t="shared" si="42"/>
        <v>complete</v>
      </c>
      <c r="D2128" s="339"/>
      <c r="F2128" s="340"/>
    </row>
    <row r="2129" hidden="1">
      <c r="B2129" s="339"/>
      <c r="C2129" s="86" t="str">
        <f t="shared" si="42"/>
        <v>completeTien.2001</v>
      </c>
      <c r="D2129" s="339"/>
      <c r="F2129" s="340"/>
    </row>
    <row r="2130" hidden="1">
      <c r="B2130" s="339"/>
      <c r="C2130" s="86" t="str">
        <f t="shared" si="42"/>
        <v>completeTien.2002</v>
      </c>
      <c r="D2130" s="339"/>
      <c r="F2130" s="340"/>
    </row>
    <row r="2131" hidden="1">
      <c r="B2131" s="339"/>
      <c r="C2131" s="86" t="str">
        <f t="shared" si="42"/>
        <v>completeTien.2003</v>
      </c>
      <c r="D2131" s="339"/>
      <c r="F2131" s="340"/>
    </row>
    <row r="2132" hidden="1">
      <c r="B2132" s="339"/>
      <c r="C2132" s="86" t="str">
        <f t="shared" si="42"/>
        <v>completeTien.2004</v>
      </c>
      <c r="D2132" s="339"/>
      <c r="F2132" s="340"/>
    </row>
    <row r="2133" hidden="1">
      <c r="B2133" s="339"/>
      <c r="C2133" s="86" t="str">
        <f t="shared" si="42"/>
        <v>completeTien.2005</v>
      </c>
      <c r="D2133" s="339"/>
      <c r="F2133" s="340"/>
    </row>
    <row r="2134" hidden="1">
      <c r="B2134" s="339"/>
      <c r="C2134" s="86" t="str">
        <f t="shared" si="42"/>
        <v>completeTien.2006</v>
      </c>
      <c r="D2134" s="339"/>
      <c r="F2134" s="340"/>
    </row>
    <row r="2135" hidden="1">
      <c r="B2135" s="339"/>
      <c r="C2135" s="86" t="str">
        <f t="shared" si="42"/>
        <v>completeTien.2007</v>
      </c>
      <c r="D2135" s="339"/>
      <c r="F2135" s="340"/>
    </row>
    <row r="2136" hidden="1">
      <c r="B2136" s="339"/>
      <c r="C2136" s="86" t="str">
        <f t="shared" si="42"/>
        <v>completeTien.2008</v>
      </c>
      <c r="D2136" s="339"/>
      <c r="F2136" s="340"/>
    </row>
    <row r="2137" hidden="1">
      <c r="B2137" s="339"/>
      <c r="C2137" s="86" t="str">
        <f t="shared" si="42"/>
        <v>completeTien.2009</v>
      </c>
      <c r="D2137" s="339"/>
      <c r="F2137" s="340"/>
    </row>
    <row r="2138" hidden="1">
      <c r="B2138" s="339"/>
      <c r="C2138" s="86" t="str">
        <f t="shared" si="42"/>
        <v>completeTien.20010</v>
      </c>
      <c r="D2138" s="339"/>
      <c r="F2138" s="340"/>
    </row>
    <row r="2139" hidden="1">
      <c r="B2139" s="339"/>
      <c r="C2139" s="86" t="str">
        <f t="shared" si="42"/>
        <v>completeTien.20011</v>
      </c>
      <c r="D2139" s="339"/>
      <c r="F2139" s="340"/>
    </row>
    <row r="2140" hidden="1">
      <c r="B2140" s="339"/>
      <c r="C2140" s="86" t="str">
        <f t="shared" si="42"/>
        <v>completeTien.20012</v>
      </c>
      <c r="D2140" s="339"/>
      <c r="F2140" s="340"/>
    </row>
    <row r="2141" hidden="1">
      <c r="B2141" s="339"/>
      <c r="C2141" s="86" t="str">
        <f t="shared" si="42"/>
        <v>completeTien.20013</v>
      </c>
      <c r="D2141" s="339"/>
      <c r="F2141" s="340"/>
    </row>
    <row r="2142" hidden="1">
      <c r="B2142" s="339"/>
      <c r="C2142" s="86" t="str">
        <f t="shared" si="42"/>
        <v>completeTien.20014</v>
      </c>
      <c r="D2142" s="339"/>
      <c r="F2142" s="340"/>
    </row>
    <row r="2143" hidden="1">
      <c r="B2143" s="339"/>
      <c r="C2143" s="86" t="str">
        <f t="shared" si="42"/>
        <v>complete</v>
      </c>
      <c r="D2143" s="339"/>
      <c r="F2143" s="340"/>
    </row>
    <row r="2144" hidden="1">
      <c r="B2144" s="339"/>
      <c r="C2144" s="86" t="str">
        <f t="shared" si="42"/>
        <v>complete</v>
      </c>
      <c r="D2144" s="339"/>
      <c r="F2144" s="340"/>
    </row>
    <row r="2145" hidden="1">
      <c r="B2145" s="339"/>
      <c r="C2145" s="86" t="str">
        <f t="shared" si="42"/>
        <v>complete</v>
      </c>
      <c r="D2145" s="339"/>
      <c r="F2145" s="340"/>
    </row>
    <row r="2146" hidden="1">
      <c r="B2146" s="339"/>
      <c r="C2146" s="86" t="str">
        <f t="shared" si="42"/>
        <v>complete</v>
      </c>
      <c r="D2146" s="339"/>
      <c r="F2146" s="340"/>
    </row>
    <row r="2147" hidden="1">
      <c r="B2147" s="339"/>
      <c r="C2147" s="86" t="str">
        <f t="shared" si="42"/>
        <v>complete</v>
      </c>
      <c r="D2147" s="339"/>
      <c r="F2147" s="340"/>
    </row>
    <row r="2148" hidden="1">
      <c r="B2148" s="339"/>
      <c r="C2148" s="86" t="str">
        <f t="shared" si="42"/>
        <v>completeNick Name:...</v>
      </c>
      <c r="D2148" s="339"/>
      <c r="F2148" s="340"/>
    </row>
    <row r="2149" hidden="1">
      <c r="B2149" s="339"/>
      <c r="C2149" s="86" t="str">
        <f t="shared" si="42"/>
        <v>completeFull Name:...</v>
      </c>
      <c r="D2149" s="339"/>
      <c r="F2149" s="340"/>
    </row>
    <row r="2150" hidden="1">
      <c r="B2150" s="339"/>
      <c r="C2150" s="86" t="str">
        <f t="shared" si="42"/>
        <v>completePosition:...</v>
      </c>
      <c r="D2150" s="339"/>
      <c r="F2150" s="340"/>
    </row>
    <row r="2151" hidden="1">
      <c r="B2151" s="339"/>
      <c r="C2151" s="86" t="str">
        <f t="shared" si="42"/>
        <v>completeBirth:...</v>
      </c>
      <c r="D2151" s="339"/>
      <c r="F2151" s="340"/>
    </row>
    <row r="2152" hidden="1">
      <c r="B2152" s="339"/>
      <c r="C2152" s="86" t="str">
        <f t="shared" si="42"/>
        <v>completeExperience:...</v>
      </c>
      <c r="D2152" s="339"/>
      <c r="F2152" s="340"/>
    </row>
    <row r="2153" hidden="1">
      <c r="B2153" s="339"/>
      <c r="C2153" s="86" t="str">
        <f t="shared" si="42"/>
        <v>completeQuote:...</v>
      </c>
      <c r="D2153" s="339"/>
      <c r="F2153" s="340"/>
    </row>
    <row r="2154" hidden="1">
      <c r="B2154" s="339"/>
      <c r="C2154" s="86" t="str">
        <f t="shared" si="42"/>
        <v>complete</v>
      </c>
      <c r="D2154" s="339"/>
      <c r="F2154" s="340"/>
    </row>
    <row r="2155" hidden="1">
      <c r="B2155" s="339"/>
      <c r="C2155" s="86" t="str">
        <f t="shared" si="42"/>
        <v>complete</v>
      </c>
      <c r="D2155" s="339"/>
      <c r="F2155" s="340"/>
    </row>
    <row r="2156" hidden="1">
      <c r="B2156" s="339"/>
      <c r="C2156" s="86" t="str">
        <f t="shared" si="42"/>
        <v>complete❤️️...</v>
      </c>
      <c r="D2156" s="339"/>
      <c r="F2156" s="340"/>
    </row>
    <row r="2157" hidden="1">
      <c r="B2157" s="339"/>
      <c r="C2157" s="86" t="str">
        <f t="shared" si="42"/>
        <v>complete</v>
      </c>
      <c r="D2157" s="339"/>
      <c r="F2157" s="340"/>
    </row>
    <row r="2158" hidden="1">
      <c r="B2158" s="339"/>
      <c r="C2158" s="86" t="str">
        <f t="shared" si="42"/>
        <v>complete</v>
      </c>
      <c r="D2158" s="339"/>
      <c r="F2158" s="340"/>
    </row>
    <row r="2159" hidden="1">
      <c r="B2159" s="339"/>
      <c r="C2159" s="86" t="str">
        <f t="shared" si="42"/>
        <v>complete...1</v>
      </c>
      <c r="D2159" s="339"/>
      <c r="F2159" s="340"/>
    </row>
    <row r="2160" hidden="1">
      <c r="B2160" s="339"/>
      <c r="C2160" s="86" t="str">
        <f t="shared" si="42"/>
        <v>complete...2</v>
      </c>
      <c r="D2160" s="339"/>
      <c r="F2160" s="340"/>
    </row>
    <row r="2161" hidden="1">
      <c r="B2161" s="339"/>
      <c r="C2161" s="86" t="str">
        <f t="shared" si="42"/>
        <v>complete...3</v>
      </c>
      <c r="D2161" s="339"/>
      <c r="F2161" s="340"/>
    </row>
    <row r="2162" hidden="1">
      <c r="B2162" s="339"/>
      <c r="C2162" s="86" t="str">
        <f t="shared" si="42"/>
        <v>complete...4</v>
      </c>
      <c r="D2162" s="339"/>
      <c r="F2162" s="340"/>
    </row>
    <row r="2163" hidden="1">
      <c r="B2163" s="339"/>
      <c r="C2163" s="86" t="str">
        <f t="shared" si="42"/>
        <v>complete...5</v>
      </c>
      <c r="D2163" s="339"/>
      <c r="F2163" s="340"/>
    </row>
    <row r="2164" hidden="1">
      <c r="B2164" s="339"/>
      <c r="C2164" s="86" t="str">
        <f t="shared" si="42"/>
        <v>complete...6</v>
      </c>
      <c r="D2164" s="339"/>
      <c r="F2164" s="340"/>
    </row>
    <row r="2165" hidden="1">
      <c r="B2165" s="339"/>
      <c r="C2165" s="86" t="str">
        <f t="shared" si="42"/>
        <v>complete...7</v>
      </c>
      <c r="D2165" s="339"/>
      <c r="F2165" s="340"/>
    </row>
    <row r="2166" hidden="1">
      <c r="B2166" s="339"/>
      <c r="C2166" s="86" t="str">
        <f t="shared" si="42"/>
        <v>complete...8</v>
      </c>
      <c r="D2166" s="339"/>
      <c r="F2166" s="340"/>
    </row>
    <row r="2167" hidden="1">
      <c r="B2167" s="339"/>
      <c r="C2167" s="86" t="str">
        <f t="shared" si="42"/>
        <v>complete...9</v>
      </c>
      <c r="D2167" s="339"/>
      <c r="F2167" s="340"/>
    </row>
    <row r="2168" hidden="1">
      <c r="B2168" s="339"/>
      <c r="C2168" s="86" t="str">
        <f t="shared" si="42"/>
        <v>complete...10</v>
      </c>
      <c r="D2168" s="339"/>
      <c r="F2168" s="340"/>
    </row>
    <row r="2169" hidden="1">
      <c r="B2169" s="339"/>
      <c r="C2169" s="86" t="str">
        <f t="shared" si="42"/>
        <v>complete...11</v>
      </c>
      <c r="D2169" s="339"/>
      <c r="F2169" s="340"/>
    </row>
    <row r="2170" hidden="1">
      <c r="B2170" s="339"/>
      <c r="C2170" s="86" t="str">
        <f t="shared" si="42"/>
        <v>complete...12</v>
      </c>
      <c r="D2170" s="339"/>
      <c r="F2170" s="340"/>
    </row>
    <row r="2171" hidden="1">
      <c r="B2171" s="339"/>
      <c r="C2171" s="86" t="str">
        <f t="shared" si="42"/>
        <v>complete...13</v>
      </c>
      <c r="D2171" s="339"/>
      <c r="F2171" s="340"/>
    </row>
    <row r="2172" hidden="1">
      <c r="B2172" s="339"/>
      <c r="C2172" s="86" t="str">
        <f t="shared" si="42"/>
        <v>complete...14</v>
      </c>
      <c r="D2172" s="339"/>
      <c r="F2172" s="340"/>
    </row>
    <row r="2173" hidden="1">
      <c r="B2173" s="339"/>
      <c r="C2173" s="86" t="str">
        <f t="shared" si="42"/>
        <v>complete</v>
      </c>
      <c r="D2173" s="339"/>
      <c r="F2173" s="340"/>
    </row>
    <row r="2174" hidden="1">
      <c r="B2174" s="339"/>
      <c r="C2174" s="86" t="str">
        <f t="shared" si="42"/>
        <v>complete</v>
      </c>
      <c r="D2174" s="339"/>
      <c r="F2174" s="340"/>
    </row>
    <row r="2175" hidden="1">
      <c r="B2175" s="339"/>
      <c r="C2175" s="86" t="str">
        <f t="shared" si="42"/>
        <v>complete</v>
      </c>
      <c r="D2175" s="339"/>
      <c r="F2175" s="340"/>
    </row>
    <row r="2176" hidden="1">
      <c r="B2176" s="339"/>
      <c r="C2176" s="86" t="str">
        <f t="shared" si="42"/>
        <v>complete</v>
      </c>
      <c r="D2176" s="339"/>
      <c r="F2176" s="340"/>
    </row>
    <row r="2177" hidden="1">
      <c r="B2177" s="339"/>
      <c r="C2177" s="86" t="str">
        <f t="shared" si="42"/>
        <v>complete</v>
      </c>
      <c r="D2177" s="339"/>
      <c r="F2177" s="340"/>
    </row>
    <row r="2178" hidden="1">
      <c r="B2178" s="339"/>
      <c r="C2178" s="86" t="str">
        <f t="shared" si="42"/>
        <v>complete</v>
      </c>
      <c r="D2178" s="339"/>
      <c r="F2178" s="340"/>
    </row>
    <row r="2179" hidden="1">
      <c r="B2179" s="339"/>
      <c r="C2179" s="86"/>
      <c r="D2179" s="339"/>
      <c r="F2179" s="340"/>
    </row>
    <row r="2180" hidden="1">
      <c r="B2180" s="339"/>
      <c r="C2180" s="86"/>
      <c r="D2180" s="339"/>
      <c r="F2180" s="340"/>
    </row>
    <row r="2181" hidden="1">
      <c r="B2181" s="339"/>
      <c r="C2181" s="86"/>
      <c r="D2181" s="339"/>
      <c r="F2181" s="340"/>
    </row>
    <row r="2182" hidden="1">
      <c r="B2182" s="339"/>
      <c r="C2182" s="86"/>
      <c r="D2182" s="339"/>
      <c r="F2182" s="340"/>
    </row>
    <row r="2183" hidden="1">
      <c r="B2183" s="339"/>
      <c r="C2183" s="86"/>
      <c r="D2183" s="339"/>
      <c r="F2183" s="340"/>
    </row>
  </sheetData>
  <mergeCells count="933">
    <mergeCell ref="B2:N2"/>
    <mergeCell ref="G5:I12"/>
    <mergeCell ref="J5:K5"/>
    <mergeCell ref="J6:K6"/>
    <mergeCell ref="J7:K7"/>
    <mergeCell ref="J8:K8"/>
    <mergeCell ref="B10:B12"/>
    <mergeCell ref="D11:D13"/>
    <mergeCell ref="E11:E13"/>
    <mergeCell ref="F11:F13"/>
    <mergeCell ref="H13:I13"/>
    <mergeCell ref="H14:I14"/>
    <mergeCell ref="D16:H16"/>
    <mergeCell ref="E17:H17"/>
    <mergeCell ref="E18:H18"/>
    <mergeCell ref="E19:H19"/>
    <mergeCell ref="E20:H20"/>
    <mergeCell ref="E21:H21"/>
    <mergeCell ref="E22:H22"/>
    <mergeCell ref="E23:H23"/>
    <mergeCell ref="E24:H24"/>
    <mergeCell ref="J35:K35"/>
    <mergeCell ref="J36:K36"/>
    <mergeCell ref="J37:K37"/>
    <mergeCell ref="J38:K38"/>
    <mergeCell ref="D41:D43"/>
    <mergeCell ref="E41:E43"/>
    <mergeCell ref="F41:F43"/>
    <mergeCell ref="E25:H25"/>
    <mergeCell ref="E26:H26"/>
    <mergeCell ref="E27:H27"/>
    <mergeCell ref="E28:H28"/>
    <mergeCell ref="E29:H29"/>
    <mergeCell ref="E30:H30"/>
    <mergeCell ref="G35:I42"/>
    <mergeCell ref="H43:I43"/>
    <mergeCell ref="H44:I44"/>
    <mergeCell ref="D46:H46"/>
    <mergeCell ref="E47:H47"/>
    <mergeCell ref="E48:H48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E58:H58"/>
    <mergeCell ref="E59:H59"/>
    <mergeCell ref="E60:H60"/>
    <mergeCell ref="J65:K65"/>
    <mergeCell ref="J66:K66"/>
    <mergeCell ref="J67:K67"/>
    <mergeCell ref="J68:K68"/>
    <mergeCell ref="G65:I72"/>
    <mergeCell ref="E71:E73"/>
    <mergeCell ref="F71:F73"/>
    <mergeCell ref="H73:I73"/>
    <mergeCell ref="H74:I74"/>
    <mergeCell ref="D76:H76"/>
    <mergeCell ref="E77:H77"/>
    <mergeCell ref="E78:H78"/>
    <mergeCell ref="E79:H79"/>
    <mergeCell ref="E80:H80"/>
    <mergeCell ref="E81:H81"/>
    <mergeCell ref="E82:H82"/>
    <mergeCell ref="E83:H83"/>
    <mergeCell ref="E84:H84"/>
    <mergeCell ref="J95:K95"/>
    <mergeCell ref="J96:K96"/>
    <mergeCell ref="J97:K97"/>
    <mergeCell ref="J98:K98"/>
    <mergeCell ref="B100:B102"/>
    <mergeCell ref="E101:E103"/>
    <mergeCell ref="F101:F103"/>
    <mergeCell ref="E85:H85"/>
    <mergeCell ref="E86:H86"/>
    <mergeCell ref="E87:H87"/>
    <mergeCell ref="E88:H88"/>
    <mergeCell ref="E89:H89"/>
    <mergeCell ref="E90:H90"/>
    <mergeCell ref="G95:I102"/>
    <mergeCell ref="G155:I162"/>
    <mergeCell ref="H163:I163"/>
    <mergeCell ref="E150:H150"/>
    <mergeCell ref="J155:K155"/>
    <mergeCell ref="J156:K156"/>
    <mergeCell ref="J157:K157"/>
    <mergeCell ref="J158:K158"/>
    <mergeCell ref="C161:C163"/>
    <mergeCell ref="F161:F163"/>
    <mergeCell ref="H103:I103"/>
    <mergeCell ref="H104:I104"/>
    <mergeCell ref="D106:H106"/>
    <mergeCell ref="E107:H107"/>
    <mergeCell ref="E108:H108"/>
    <mergeCell ref="E109:H109"/>
    <mergeCell ref="E110:H110"/>
    <mergeCell ref="E111:H111"/>
    <mergeCell ref="E112:H112"/>
    <mergeCell ref="E113:H113"/>
    <mergeCell ref="E114:H114"/>
    <mergeCell ref="E115:H115"/>
    <mergeCell ref="E116:H116"/>
    <mergeCell ref="E117:H117"/>
    <mergeCell ref="E118:H118"/>
    <mergeCell ref="E119:H119"/>
    <mergeCell ref="E120:H120"/>
    <mergeCell ref="J125:K125"/>
    <mergeCell ref="J126:K126"/>
    <mergeCell ref="J127:K127"/>
    <mergeCell ref="J128:K128"/>
    <mergeCell ref="G125:I132"/>
    <mergeCell ref="C131:C133"/>
    <mergeCell ref="D131:D133"/>
    <mergeCell ref="E131:E133"/>
    <mergeCell ref="F131:F133"/>
    <mergeCell ref="H133:I133"/>
    <mergeCell ref="H134:I134"/>
    <mergeCell ref="D136:H136"/>
    <mergeCell ref="E137:H137"/>
    <mergeCell ref="E138:H138"/>
    <mergeCell ref="E139:H139"/>
    <mergeCell ref="E140:H140"/>
    <mergeCell ref="E141:H141"/>
    <mergeCell ref="E142:H142"/>
    <mergeCell ref="E143:H143"/>
    <mergeCell ref="E144:H144"/>
    <mergeCell ref="E145:H145"/>
    <mergeCell ref="E146:H146"/>
    <mergeCell ref="E147:H147"/>
    <mergeCell ref="E148:H148"/>
    <mergeCell ref="E149:H149"/>
    <mergeCell ref="D161:D163"/>
    <mergeCell ref="E161:E163"/>
    <mergeCell ref="H164:I164"/>
    <mergeCell ref="D166:H166"/>
    <mergeCell ref="E167:H167"/>
    <mergeCell ref="E168:H168"/>
    <mergeCell ref="E169:H169"/>
    <mergeCell ref="E208:H208"/>
    <mergeCell ref="E209:H209"/>
    <mergeCell ref="E210:H210"/>
    <mergeCell ref="J215:K215"/>
    <mergeCell ref="J216:K216"/>
    <mergeCell ref="J217:K217"/>
    <mergeCell ref="J218:K218"/>
    <mergeCell ref="G215:I222"/>
    <mergeCell ref="C221:C223"/>
    <mergeCell ref="D221:D223"/>
    <mergeCell ref="E221:E223"/>
    <mergeCell ref="F221:F223"/>
    <mergeCell ref="H223:I223"/>
    <mergeCell ref="H224:I224"/>
    <mergeCell ref="E170:H170"/>
    <mergeCell ref="E171:H171"/>
    <mergeCell ref="E172:H172"/>
    <mergeCell ref="E173:H173"/>
    <mergeCell ref="E174:H174"/>
    <mergeCell ref="E175:H175"/>
    <mergeCell ref="E176:H176"/>
    <mergeCell ref="J187:K187"/>
    <mergeCell ref="J188:K188"/>
    <mergeCell ref="C191:C193"/>
    <mergeCell ref="D191:D193"/>
    <mergeCell ref="E191:E193"/>
    <mergeCell ref="F191:F193"/>
    <mergeCell ref="E177:H177"/>
    <mergeCell ref="E178:H178"/>
    <mergeCell ref="E179:H179"/>
    <mergeCell ref="E180:H180"/>
    <mergeCell ref="G185:I192"/>
    <mergeCell ref="J185:K185"/>
    <mergeCell ref="J186:K186"/>
    <mergeCell ref="H193:I193"/>
    <mergeCell ref="H194:I194"/>
    <mergeCell ref="D196:H196"/>
    <mergeCell ref="E197:H197"/>
    <mergeCell ref="E198:H198"/>
    <mergeCell ref="E199:H199"/>
    <mergeCell ref="E200:H200"/>
    <mergeCell ref="E201:H201"/>
    <mergeCell ref="E202:H202"/>
    <mergeCell ref="E203:H203"/>
    <mergeCell ref="E204:H204"/>
    <mergeCell ref="E205:H205"/>
    <mergeCell ref="E206:H206"/>
    <mergeCell ref="E207:H207"/>
    <mergeCell ref="D226:H226"/>
    <mergeCell ref="E227:H227"/>
    <mergeCell ref="E228:H228"/>
    <mergeCell ref="E229:H229"/>
    <mergeCell ref="E230:H230"/>
    <mergeCell ref="E231:H231"/>
    <mergeCell ref="E232:H232"/>
    <mergeCell ref="E233:H233"/>
    <mergeCell ref="E234:H234"/>
    <mergeCell ref="E235:H235"/>
    <mergeCell ref="E236:H236"/>
    <mergeCell ref="E237:H237"/>
    <mergeCell ref="E238:H238"/>
    <mergeCell ref="E239:H239"/>
    <mergeCell ref="G245:I252"/>
    <mergeCell ref="H253:I253"/>
    <mergeCell ref="H254:I254"/>
    <mergeCell ref="E240:H240"/>
    <mergeCell ref="J245:K245"/>
    <mergeCell ref="J246:K246"/>
    <mergeCell ref="J247:K247"/>
    <mergeCell ref="J248:K248"/>
    <mergeCell ref="C251:C253"/>
    <mergeCell ref="F251:F253"/>
    <mergeCell ref="D251:D253"/>
    <mergeCell ref="E251:E253"/>
    <mergeCell ref="D256:H256"/>
    <mergeCell ref="E257:H257"/>
    <mergeCell ref="E258:H258"/>
    <mergeCell ref="E259:H259"/>
    <mergeCell ref="E260:H260"/>
    <mergeCell ref="E261:H261"/>
    <mergeCell ref="E262:H262"/>
    <mergeCell ref="E263:H263"/>
    <mergeCell ref="E264:H264"/>
    <mergeCell ref="E265:H265"/>
    <mergeCell ref="E266:H266"/>
    <mergeCell ref="E267:H267"/>
    <mergeCell ref="E268:H268"/>
    <mergeCell ref="E269:H269"/>
    <mergeCell ref="E270:H270"/>
    <mergeCell ref="J275:K275"/>
    <mergeCell ref="J276:K276"/>
    <mergeCell ref="J277:K277"/>
    <mergeCell ref="J278:K278"/>
    <mergeCell ref="G275:I282"/>
    <mergeCell ref="C281:C283"/>
    <mergeCell ref="D281:D283"/>
    <mergeCell ref="E281:E283"/>
    <mergeCell ref="F281:F283"/>
    <mergeCell ref="H283:I283"/>
    <mergeCell ref="H284:I284"/>
    <mergeCell ref="J579:K579"/>
    <mergeCell ref="J580:K580"/>
    <mergeCell ref="E569:H569"/>
    <mergeCell ref="E570:H570"/>
    <mergeCell ref="E571:H571"/>
    <mergeCell ref="D572:H572"/>
    <mergeCell ref="G577:I584"/>
    <mergeCell ref="J577:K577"/>
    <mergeCell ref="J578:K578"/>
    <mergeCell ref="D527:H527"/>
    <mergeCell ref="E528:H528"/>
    <mergeCell ref="E529:H529"/>
    <mergeCell ref="E530:H530"/>
    <mergeCell ref="E531:H531"/>
    <mergeCell ref="E532:H532"/>
    <mergeCell ref="E533:H533"/>
    <mergeCell ref="E534:H534"/>
    <mergeCell ref="E535:H535"/>
    <mergeCell ref="E536:H536"/>
    <mergeCell ref="E537:H537"/>
    <mergeCell ref="E538:H538"/>
    <mergeCell ref="E539:H539"/>
    <mergeCell ref="E540:H540"/>
    <mergeCell ref="G546:I553"/>
    <mergeCell ref="H554:I554"/>
    <mergeCell ref="H555:I555"/>
    <mergeCell ref="E541:H541"/>
    <mergeCell ref="J546:K546"/>
    <mergeCell ref="J547:K547"/>
    <mergeCell ref="J548:K548"/>
    <mergeCell ref="J549:K549"/>
    <mergeCell ref="C552:C554"/>
    <mergeCell ref="F552:F554"/>
    <mergeCell ref="D552:D554"/>
    <mergeCell ref="E552:E554"/>
    <mergeCell ref="D557:H557"/>
    <mergeCell ref="E558:H558"/>
    <mergeCell ref="E559:H559"/>
    <mergeCell ref="E560:H560"/>
    <mergeCell ref="E561:H561"/>
    <mergeCell ref="E562:H562"/>
    <mergeCell ref="E563:H563"/>
    <mergeCell ref="E564:H564"/>
    <mergeCell ref="E565:H565"/>
    <mergeCell ref="E566:H566"/>
    <mergeCell ref="E567:H567"/>
    <mergeCell ref="E568:H568"/>
    <mergeCell ref="C583:C585"/>
    <mergeCell ref="D583:D585"/>
    <mergeCell ref="E583:E585"/>
    <mergeCell ref="F583:F585"/>
    <mergeCell ref="H585:I585"/>
    <mergeCell ref="H586:I586"/>
    <mergeCell ref="D588:H588"/>
    <mergeCell ref="J640:K640"/>
    <mergeCell ref="J641:K641"/>
    <mergeCell ref="E630:H630"/>
    <mergeCell ref="E631:H631"/>
    <mergeCell ref="E632:H632"/>
    <mergeCell ref="G637:I644"/>
    <mergeCell ref="J637:K637"/>
    <mergeCell ref="J638:K638"/>
    <mergeCell ref="L638:L639"/>
    <mergeCell ref="E589:H589"/>
    <mergeCell ref="E590:H590"/>
    <mergeCell ref="E591:H591"/>
    <mergeCell ref="E592:H592"/>
    <mergeCell ref="E593:H593"/>
    <mergeCell ref="E594:H594"/>
    <mergeCell ref="E595:H595"/>
    <mergeCell ref="E596:H596"/>
    <mergeCell ref="E597:H597"/>
    <mergeCell ref="E598:H598"/>
    <mergeCell ref="E599:H599"/>
    <mergeCell ref="E600:H600"/>
    <mergeCell ref="E601:H601"/>
    <mergeCell ref="E602:H602"/>
    <mergeCell ref="E613:E615"/>
    <mergeCell ref="F613:F615"/>
    <mergeCell ref="G607:I614"/>
    <mergeCell ref="J607:K607"/>
    <mergeCell ref="J608:K608"/>
    <mergeCell ref="J609:K609"/>
    <mergeCell ref="J610:K610"/>
    <mergeCell ref="C613:C615"/>
    <mergeCell ref="D613:D615"/>
    <mergeCell ref="H615:I615"/>
    <mergeCell ref="H616:I616"/>
    <mergeCell ref="D618:H618"/>
    <mergeCell ref="E619:H619"/>
    <mergeCell ref="E620:H620"/>
    <mergeCell ref="E621:H621"/>
    <mergeCell ref="E622:H622"/>
    <mergeCell ref="E623:H623"/>
    <mergeCell ref="E624:H624"/>
    <mergeCell ref="E625:H625"/>
    <mergeCell ref="E626:H626"/>
    <mergeCell ref="E627:H627"/>
    <mergeCell ref="E628:H628"/>
    <mergeCell ref="E629:H629"/>
    <mergeCell ref="C643:C645"/>
    <mergeCell ref="D643:D645"/>
    <mergeCell ref="E643:E645"/>
    <mergeCell ref="F643:F645"/>
    <mergeCell ref="H645:I645"/>
    <mergeCell ref="H646:I646"/>
    <mergeCell ref="D648:H648"/>
    <mergeCell ref="E690:H690"/>
    <mergeCell ref="E691:H691"/>
    <mergeCell ref="E692:H692"/>
    <mergeCell ref="J697:K697"/>
    <mergeCell ref="J698:K698"/>
    <mergeCell ref="J699:K699"/>
    <mergeCell ref="J700:K700"/>
    <mergeCell ref="G697:I704"/>
    <mergeCell ref="C703:C705"/>
    <mergeCell ref="D703:D705"/>
    <mergeCell ref="E703:E705"/>
    <mergeCell ref="F703:F705"/>
    <mergeCell ref="H705:I705"/>
    <mergeCell ref="H706:I706"/>
    <mergeCell ref="E649:H649"/>
    <mergeCell ref="E650:H650"/>
    <mergeCell ref="E651:H651"/>
    <mergeCell ref="E652:H652"/>
    <mergeCell ref="E653:H653"/>
    <mergeCell ref="E654:H654"/>
    <mergeCell ref="E655:H655"/>
    <mergeCell ref="E656:H656"/>
    <mergeCell ref="E657:H657"/>
    <mergeCell ref="E658:H658"/>
    <mergeCell ref="E659:H659"/>
    <mergeCell ref="E660:H660"/>
    <mergeCell ref="E661:H661"/>
    <mergeCell ref="E662:H662"/>
    <mergeCell ref="E673:E675"/>
    <mergeCell ref="F673:F675"/>
    <mergeCell ref="G667:I674"/>
    <mergeCell ref="J667:K667"/>
    <mergeCell ref="J668:K668"/>
    <mergeCell ref="J669:K669"/>
    <mergeCell ref="J670:K670"/>
    <mergeCell ref="C673:C675"/>
    <mergeCell ref="D673:D675"/>
    <mergeCell ref="H675:I675"/>
    <mergeCell ref="H676:I676"/>
    <mergeCell ref="D678:H678"/>
    <mergeCell ref="E679:H679"/>
    <mergeCell ref="E680:H680"/>
    <mergeCell ref="E681:H681"/>
    <mergeCell ref="E682:H682"/>
    <mergeCell ref="E683:H683"/>
    <mergeCell ref="E684:H684"/>
    <mergeCell ref="E685:H685"/>
    <mergeCell ref="E686:H686"/>
    <mergeCell ref="E687:H687"/>
    <mergeCell ref="E688:H688"/>
    <mergeCell ref="E689:H689"/>
    <mergeCell ref="D708:H708"/>
    <mergeCell ref="E709:H709"/>
    <mergeCell ref="E710:H710"/>
    <mergeCell ref="E711:H711"/>
    <mergeCell ref="E712:H712"/>
    <mergeCell ref="E713:H713"/>
    <mergeCell ref="E714:H714"/>
    <mergeCell ref="E810:H810"/>
    <mergeCell ref="E811:H811"/>
    <mergeCell ref="E812:H812"/>
    <mergeCell ref="J817:K817"/>
    <mergeCell ref="J818:K818"/>
    <mergeCell ref="J819:K819"/>
    <mergeCell ref="J820:K820"/>
    <mergeCell ref="G817:I824"/>
    <mergeCell ref="C823:C825"/>
    <mergeCell ref="D823:D825"/>
    <mergeCell ref="E823:E825"/>
    <mergeCell ref="F823:F825"/>
    <mergeCell ref="H825:I825"/>
    <mergeCell ref="H826:I826"/>
    <mergeCell ref="D768:H768"/>
    <mergeCell ref="E769:H769"/>
    <mergeCell ref="E770:H770"/>
    <mergeCell ref="E771:H771"/>
    <mergeCell ref="E772:H772"/>
    <mergeCell ref="E773:H773"/>
    <mergeCell ref="E774:H774"/>
    <mergeCell ref="E775:H775"/>
    <mergeCell ref="E776:H776"/>
    <mergeCell ref="E777:H777"/>
    <mergeCell ref="E778:H778"/>
    <mergeCell ref="E779:H779"/>
    <mergeCell ref="E780:H780"/>
    <mergeCell ref="E781:H781"/>
    <mergeCell ref="G787:I794"/>
    <mergeCell ref="H795:I795"/>
    <mergeCell ref="H796:I796"/>
    <mergeCell ref="E782:H782"/>
    <mergeCell ref="J787:K787"/>
    <mergeCell ref="J788:K788"/>
    <mergeCell ref="J789:K789"/>
    <mergeCell ref="J790:K790"/>
    <mergeCell ref="C793:C795"/>
    <mergeCell ref="F793:F795"/>
    <mergeCell ref="D793:D795"/>
    <mergeCell ref="E793:E795"/>
    <mergeCell ref="D798:H798"/>
    <mergeCell ref="E799:H799"/>
    <mergeCell ref="E800:H800"/>
    <mergeCell ref="E801:H801"/>
    <mergeCell ref="E802:H802"/>
    <mergeCell ref="E803:H803"/>
    <mergeCell ref="E804:H804"/>
    <mergeCell ref="E805:H805"/>
    <mergeCell ref="E806:H806"/>
    <mergeCell ref="E807:H807"/>
    <mergeCell ref="E808:H808"/>
    <mergeCell ref="E809:H809"/>
    <mergeCell ref="D828:H828"/>
    <mergeCell ref="E829:H829"/>
    <mergeCell ref="E830:H830"/>
    <mergeCell ref="E831:H831"/>
    <mergeCell ref="E832:H832"/>
    <mergeCell ref="E833:H833"/>
    <mergeCell ref="E834:H834"/>
    <mergeCell ref="E835:H835"/>
    <mergeCell ref="E836:H836"/>
    <mergeCell ref="E837:H837"/>
    <mergeCell ref="E838:H838"/>
    <mergeCell ref="E839:H839"/>
    <mergeCell ref="E840:H840"/>
    <mergeCell ref="E841:H841"/>
    <mergeCell ref="G847:I854"/>
    <mergeCell ref="H855:I855"/>
    <mergeCell ref="H856:I856"/>
    <mergeCell ref="E842:H842"/>
    <mergeCell ref="J847:K847"/>
    <mergeCell ref="J848:K848"/>
    <mergeCell ref="J849:K849"/>
    <mergeCell ref="J850:K850"/>
    <mergeCell ref="C853:C855"/>
    <mergeCell ref="F853:F855"/>
    <mergeCell ref="D853:D855"/>
    <mergeCell ref="E853:E855"/>
    <mergeCell ref="D858:H858"/>
    <mergeCell ref="E859:H859"/>
    <mergeCell ref="E860:H860"/>
    <mergeCell ref="E861:H861"/>
    <mergeCell ref="E862:H862"/>
    <mergeCell ref="E863:H863"/>
    <mergeCell ref="E864:H864"/>
    <mergeCell ref="E865:H865"/>
    <mergeCell ref="E866:H866"/>
    <mergeCell ref="E867:H867"/>
    <mergeCell ref="E868:H868"/>
    <mergeCell ref="E869:H869"/>
    <mergeCell ref="E870:H870"/>
    <mergeCell ref="E871:H871"/>
    <mergeCell ref="E872:H872"/>
    <mergeCell ref="J877:K877"/>
    <mergeCell ref="J878:K878"/>
    <mergeCell ref="J879:K879"/>
    <mergeCell ref="J880:K880"/>
    <mergeCell ref="G877:I884"/>
    <mergeCell ref="C883:C885"/>
    <mergeCell ref="D883:D885"/>
    <mergeCell ref="E883:E885"/>
    <mergeCell ref="F883:F885"/>
    <mergeCell ref="H885:I885"/>
    <mergeCell ref="H886:I886"/>
    <mergeCell ref="E930:H930"/>
    <mergeCell ref="E931:H931"/>
    <mergeCell ref="E932:H932"/>
    <mergeCell ref="J937:K937"/>
    <mergeCell ref="J938:K938"/>
    <mergeCell ref="J939:K939"/>
    <mergeCell ref="J940:K940"/>
    <mergeCell ref="G937:I944"/>
    <mergeCell ref="C943:C945"/>
    <mergeCell ref="D943:D945"/>
    <mergeCell ref="E943:E945"/>
    <mergeCell ref="F943:F945"/>
    <mergeCell ref="H945:I945"/>
    <mergeCell ref="H946:I946"/>
    <mergeCell ref="D888:H888"/>
    <mergeCell ref="E889:H889"/>
    <mergeCell ref="E890:H890"/>
    <mergeCell ref="E891:H891"/>
    <mergeCell ref="E892:H892"/>
    <mergeCell ref="E893:H893"/>
    <mergeCell ref="E894:H894"/>
    <mergeCell ref="E895:H895"/>
    <mergeCell ref="E896:H896"/>
    <mergeCell ref="E897:H897"/>
    <mergeCell ref="E898:H898"/>
    <mergeCell ref="E899:H899"/>
    <mergeCell ref="E900:H900"/>
    <mergeCell ref="E901:H901"/>
    <mergeCell ref="G907:I914"/>
    <mergeCell ref="H915:I915"/>
    <mergeCell ref="H916:I916"/>
    <mergeCell ref="E902:H902"/>
    <mergeCell ref="J907:K907"/>
    <mergeCell ref="J908:K908"/>
    <mergeCell ref="J909:K909"/>
    <mergeCell ref="J910:K910"/>
    <mergeCell ref="C913:C915"/>
    <mergeCell ref="F913:F915"/>
    <mergeCell ref="D913:D915"/>
    <mergeCell ref="E913:E915"/>
    <mergeCell ref="D918:H918"/>
    <mergeCell ref="E919:H919"/>
    <mergeCell ref="E920:H920"/>
    <mergeCell ref="E921:H921"/>
    <mergeCell ref="E922:H922"/>
    <mergeCell ref="E923:H923"/>
    <mergeCell ref="E924:H924"/>
    <mergeCell ref="E925:H925"/>
    <mergeCell ref="E926:H926"/>
    <mergeCell ref="E927:H927"/>
    <mergeCell ref="E928:H928"/>
    <mergeCell ref="E929:H929"/>
    <mergeCell ref="D948:H948"/>
    <mergeCell ref="E949:H949"/>
    <mergeCell ref="E950:H950"/>
    <mergeCell ref="E951:H951"/>
    <mergeCell ref="E952:H952"/>
    <mergeCell ref="E953:H953"/>
    <mergeCell ref="E954:H954"/>
    <mergeCell ref="E955:H955"/>
    <mergeCell ref="E956:H956"/>
    <mergeCell ref="E957:H957"/>
    <mergeCell ref="E958:H958"/>
    <mergeCell ref="E959:H959"/>
    <mergeCell ref="E960:H960"/>
    <mergeCell ref="E961:H961"/>
    <mergeCell ref="G967:I974"/>
    <mergeCell ref="H975:I975"/>
    <mergeCell ref="H976:I976"/>
    <mergeCell ref="E962:H962"/>
    <mergeCell ref="J967:K967"/>
    <mergeCell ref="J968:K968"/>
    <mergeCell ref="J969:K969"/>
    <mergeCell ref="J970:K970"/>
    <mergeCell ref="C973:C975"/>
    <mergeCell ref="F973:F975"/>
    <mergeCell ref="D973:D975"/>
    <mergeCell ref="E973:E975"/>
    <mergeCell ref="D978:H978"/>
    <mergeCell ref="E979:H979"/>
    <mergeCell ref="E980:H980"/>
    <mergeCell ref="E981:H981"/>
    <mergeCell ref="E982:H982"/>
    <mergeCell ref="E983:H983"/>
    <mergeCell ref="E984:H984"/>
    <mergeCell ref="E985:H985"/>
    <mergeCell ref="E986:H986"/>
    <mergeCell ref="E987:H987"/>
    <mergeCell ref="E988:H988"/>
    <mergeCell ref="E989:H989"/>
    <mergeCell ref="E990:H990"/>
    <mergeCell ref="E991:H991"/>
    <mergeCell ref="E992:H992"/>
    <mergeCell ref="J997:K997"/>
    <mergeCell ref="J998:K998"/>
    <mergeCell ref="J999:K999"/>
    <mergeCell ref="J1000:K1000"/>
    <mergeCell ref="G997:I1004"/>
    <mergeCell ref="C1003:C1005"/>
    <mergeCell ref="D1003:D1005"/>
    <mergeCell ref="E1003:E1005"/>
    <mergeCell ref="F1003:F1005"/>
    <mergeCell ref="H1005:I1005"/>
    <mergeCell ref="H1006:I1006"/>
    <mergeCell ref="E1050:H1050"/>
    <mergeCell ref="E1051:H1051"/>
    <mergeCell ref="E1052:H1052"/>
    <mergeCell ref="J1057:K1057"/>
    <mergeCell ref="J1058:K1058"/>
    <mergeCell ref="J1059:K1059"/>
    <mergeCell ref="J1060:K1060"/>
    <mergeCell ref="G1057:I1064"/>
    <mergeCell ref="C1063:C1065"/>
    <mergeCell ref="D1063:D1065"/>
    <mergeCell ref="E1063:E1065"/>
    <mergeCell ref="F1063:F1065"/>
    <mergeCell ref="H1065:I1065"/>
    <mergeCell ref="H1066:I1066"/>
    <mergeCell ref="D1008:H1008"/>
    <mergeCell ref="E1009:H1009"/>
    <mergeCell ref="E1010:H1010"/>
    <mergeCell ref="E1011:H1011"/>
    <mergeCell ref="E1012:H1012"/>
    <mergeCell ref="E1013:H1013"/>
    <mergeCell ref="E1014:H1014"/>
    <mergeCell ref="E1015:H1015"/>
    <mergeCell ref="E1016:H1016"/>
    <mergeCell ref="E1017:H1017"/>
    <mergeCell ref="E1018:H1018"/>
    <mergeCell ref="E1019:H1019"/>
    <mergeCell ref="E1020:H1020"/>
    <mergeCell ref="E1021:H1021"/>
    <mergeCell ref="G1027:I1034"/>
    <mergeCell ref="H1035:I1035"/>
    <mergeCell ref="H1036:I1036"/>
    <mergeCell ref="E1022:H1022"/>
    <mergeCell ref="J1027:K1027"/>
    <mergeCell ref="J1028:K1028"/>
    <mergeCell ref="J1029:K1029"/>
    <mergeCell ref="J1030:K1030"/>
    <mergeCell ref="C1033:C1035"/>
    <mergeCell ref="F1033:F1035"/>
    <mergeCell ref="D1033:D1035"/>
    <mergeCell ref="E1033:E1035"/>
    <mergeCell ref="D1038:H1038"/>
    <mergeCell ref="E1039:H1039"/>
    <mergeCell ref="E1040:H1040"/>
    <mergeCell ref="E1041:H1041"/>
    <mergeCell ref="E1042:H1042"/>
    <mergeCell ref="E1043:H1043"/>
    <mergeCell ref="E1044:H1044"/>
    <mergeCell ref="E1045:H1045"/>
    <mergeCell ref="E1046:H1046"/>
    <mergeCell ref="E1047:H1047"/>
    <mergeCell ref="E1048:H1048"/>
    <mergeCell ref="E1049:H1049"/>
    <mergeCell ref="E1075:H1075"/>
    <mergeCell ref="E1076:H1076"/>
    <mergeCell ref="E1077:H1077"/>
    <mergeCell ref="E1078:H1078"/>
    <mergeCell ref="E1079:H1079"/>
    <mergeCell ref="E1080:H1080"/>
    <mergeCell ref="E1081:H1081"/>
    <mergeCell ref="E1082:H1082"/>
    <mergeCell ref="D1068:H1068"/>
    <mergeCell ref="E1069:H1069"/>
    <mergeCell ref="E1070:H1070"/>
    <mergeCell ref="E1071:H1071"/>
    <mergeCell ref="E1072:H1072"/>
    <mergeCell ref="E1073:H1073"/>
    <mergeCell ref="E1074:H1074"/>
    <mergeCell ref="E328:H328"/>
    <mergeCell ref="E329:H329"/>
    <mergeCell ref="E330:H330"/>
    <mergeCell ref="J335:K335"/>
    <mergeCell ref="J336:K336"/>
    <mergeCell ref="J337:K337"/>
    <mergeCell ref="J338:K338"/>
    <mergeCell ref="G335:I342"/>
    <mergeCell ref="C341:C343"/>
    <mergeCell ref="D341:D343"/>
    <mergeCell ref="E341:E343"/>
    <mergeCell ref="F341:F343"/>
    <mergeCell ref="H343:I343"/>
    <mergeCell ref="H344:I344"/>
    <mergeCell ref="D286:H286"/>
    <mergeCell ref="E287:H287"/>
    <mergeCell ref="E288:H288"/>
    <mergeCell ref="E289:H289"/>
    <mergeCell ref="E290:H290"/>
    <mergeCell ref="E291:H291"/>
    <mergeCell ref="E292:H292"/>
    <mergeCell ref="E293:H293"/>
    <mergeCell ref="E294:H294"/>
    <mergeCell ref="E295:H295"/>
    <mergeCell ref="E296:H296"/>
    <mergeCell ref="E297:H297"/>
    <mergeCell ref="E298:H298"/>
    <mergeCell ref="E299:H299"/>
    <mergeCell ref="D311:D313"/>
    <mergeCell ref="E311:E313"/>
    <mergeCell ref="E300:H300"/>
    <mergeCell ref="G305:I312"/>
    <mergeCell ref="J305:K305"/>
    <mergeCell ref="J306:K306"/>
    <mergeCell ref="J307:K307"/>
    <mergeCell ref="J308:K308"/>
    <mergeCell ref="C311:C313"/>
    <mergeCell ref="H313:I313"/>
    <mergeCell ref="H314:I314"/>
    <mergeCell ref="D316:H316"/>
    <mergeCell ref="E317:H317"/>
    <mergeCell ref="E318:H318"/>
    <mergeCell ref="E319:H319"/>
    <mergeCell ref="E320:H320"/>
    <mergeCell ref="E321:H321"/>
    <mergeCell ref="E322:H322"/>
    <mergeCell ref="E323:H323"/>
    <mergeCell ref="E324:H324"/>
    <mergeCell ref="E325:H325"/>
    <mergeCell ref="E326:H326"/>
    <mergeCell ref="E327:H327"/>
    <mergeCell ref="D346:H346"/>
    <mergeCell ref="E347:H347"/>
    <mergeCell ref="E348:H348"/>
    <mergeCell ref="E349:H349"/>
    <mergeCell ref="E350:H350"/>
    <mergeCell ref="E351:H351"/>
    <mergeCell ref="E352:H352"/>
    <mergeCell ref="E353:H353"/>
    <mergeCell ref="E354:H354"/>
    <mergeCell ref="E355:H355"/>
    <mergeCell ref="E356:H356"/>
    <mergeCell ref="E357:H357"/>
    <mergeCell ref="E358:H358"/>
    <mergeCell ref="E359:H359"/>
    <mergeCell ref="D371:D373"/>
    <mergeCell ref="E371:E373"/>
    <mergeCell ref="E360:H360"/>
    <mergeCell ref="G365:I372"/>
    <mergeCell ref="J365:K365"/>
    <mergeCell ref="J366:K366"/>
    <mergeCell ref="J367:K367"/>
    <mergeCell ref="J368:K368"/>
    <mergeCell ref="C371:C373"/>
    <mergeCell ref="H373:I373"/>
    <mergeCell ref="H374:I374"/>
    <mergeCell ref="D376:H376"/>
    <mergeCell ref="E377:H377"/>
    <mergeCell ref="E378:H378"/>
    <mergeCell ref="E379:H379"/>
    <mergeCell ref="E380:H380"/>
    <mergeCell ref="E381:H381"/>
    <mergeCell ref="E382:H382"/>
    <mergeCell ref="E383:H383"/>
    <mergeCell ref="E384:H384"/>
    <mergeCell ref="E385:H385"/>
    <mergeCell ref="E386:H386"/>
    <mergeCell ref="E387:H387"/>
    <mergeCell ref="E388:H388"/>
    <mergeCell ref="E389:H389"/>
    <mergeCell ref="E390:H390"/>
    <mergeCell ref="J395:K395"/>
    <mergeCell ref="J396:K396"/>
    <mergeCell ref="J397:K397"/>
    <mergeCell ref="J398:K398"/>
    <mergeCell ref="G395:I402"/>
    <mergeCell ref="C401:C403"/>
    <mergeCell ref="D401:D403"/>
    <mergeCell ref="E401:E403"/>
    <mergeCell ref="F401:F403"/>
    <mergeCell ref="H403:I403"/>
    <mergeCell ref="H404:I404"/>
    <mergeCell ref="E448:H448"/>
    <mergeCell ref="E449:H449"/>
    <mergeCell ref="E450:H450"/>
    <mergeCell ref="J455:K455"/>
    <mergeCell ref="J456:K456"/>
    <mergeCell ref="J457:K457"/>
    <mergeCell ref="J458:K458"/>
    <mergeCell ref="G455:I462"/>
    <mergeCell ref="C461:C463"/>
    <mergeCell ref="D461:D463"/>
    <mergeCell ref="E461:E463"/>
    <mergeCell ref="F461:F463"/>
    <mergeCell ref="H463:I463"/>
    <mergeCell ref="H464:I464"/>
    <mergeCell ref="D406:H406"/>
    <mergeCell ref="E407:H407"/>
    <mergeCell ref="E408:H408"/>
    <mergeCell ref="E409:H409"/>
    <mergeCell ref="E410:H410"/>
    <mergeCell ref="E411:H411"/>
    <mergeCell ref="E412:H412"/>
    <mergeCell ref="E413:H413"/>
    <mergeCell ref="E414:H414"/>
    <mergeCell ref="E415:H415"/>
    <mergeCell ref="E416:H416"/>
    <mergeCell ref="E417:H417"/>
    <mergeCell ref="E418:H418"/>
    <mergeCell ref="E419:H419"/>
    <mergeCell ref="G425:I432"/>
    <mergeCell ref="H433:I433"/>
    <mergeCell ref="H434:I434"/>
    <mergeCell ref="E420:H420"/>
    <mergeCell ref="J425:K425"/>
    <mergeCell ref="J426:K426"/>
    <mergeCell ref="J427:K427"/>
    <mergeCell ref="J428:K428"/>
    <mergeCell ref="C431:C433"/>
    <mergeCell ref="F431:F433"/>
    <mergeCell ref="D431:D433"/>
    <mergeCell ref="E431:E433"/>
    <mergeCell ref="D436:H436"/>
    <mergeCell ref="E437:H437"/>
    <mergeCell ref="E438:H438"/>
    <mergeCell ref="E439:H439"/>
    <mergeCell ref="E440:H440"/>
    <mergeCell ref="E441:H441"/>
    <mergeCell ref="E442:H442"/>
    <mergeCell ref="E443:H443"/>
    <mergeCell ref="E444:H444"/>
    <mergeCell ref="E445:H445"/>
    <mergeCell ref="E446:H446"/>
    <mergeCell ref="E447:H447"/>
    <mergeCell ref="D466:H466"/>
    <mergeCell ref="E467:H467"/>
    <mergeCell ref="E468:H468"/>
    <mergeCell ref="E469:H469"/>
    <mergeCell ref="E470:H470"/>
    <mergeCell ref="E471:H471"/>
    <mergeCell ref="E472:H472"/>
    <mergeCell ref="E473:H473"/>
    <mergeCell ref="E474:H474"/>
    <mergeCell ref="E475:H475"/>
    <mergeCell ref="E476:H476"/>
    <mergeCell ref="E477:H477"/>
    <mergeCell ref="E478:H478"/>
    <mergeCell ref="E479:H479"/>
    <mergeCell ref="G486:I493"/>
    <mergeCell ref="H494:I494"/>
    <mergeCell ref="H495:I495"/>
    <mergeCell ref="E480:H480"/>
    <mergeCell ref="J486:K486"/>
    <mergeCell ref="J487:K487"/>
    <mergeCell ref="J488:K488"/>
    <mergeCell ref="J489:K489"/>
    <mergeCell ref="C492:C494"/>
    <mergeCell ref="F492:F494"/>
    <mergeCell ref="D492:D494"/>
    <mergeCell ref="E492:E494"/>
    <mergeCell ref="D497:H497"/>
    <mergeCell ref="E498:H498"/>
    <mergeCell ref="E499:H499"/>
    <mergeCell ref="E500:H500"/>
    <mergeCell ref="E501:H501"/>
    <mergeCell ref="E502:H502"/>
    <mergeCell ref="E503:H503"/>
    <mergeCell ref="E504:H504"/>
    <mergeCell ref="E505:H505"/>
    <mergeCell ref="E506:H506"/>
    <mergeCell ref="E507:H507"/>
    <mergeCell ref="E508:H508"/>
    <mergeCell ref="E509:H509"/>
    <mergeCell ref="E510:H510"/>
    <mergeCell ref="E511:H511"/>
    <mergeCell ref="J516:K516"/>
    <mergeCell ref="J517:K517"/>
    <mergeCell ref="J518:K518"/>
    <mergeCell ref="J519:K519"/>
    <mergeCell ref="G516:I523"/>
    <mergeCell ref="C522:C524"/>
    <mergeCell ref="D522:D524"/>
    <mergeCell ref="E522:E524"/>
    <mergeCell ref="F522:F524"/>
    <mergeCell ref="H524:I524"/>
    <mergeCell ref="H525:I525"/>
    <mergeCell ref="E715:H715"/>
    <mergeCell ref="E716:H716"/>
    <mergeCell ref="E717:H717"/>
    <mergeCell ref="E718:H718"/>
    <mergeCell ref="E719:H719"/>
    <mergeCell ref="E720:H720"/>
    <mergeCell ref="E721:H721"/>
    <mergeCell ref="G727:I734"/>
    <mergeCell ref="H735:I735"/>
    <mergeCell ref="H736:I736"/>
    <mergeCell ref="E722:H722"/>
    <mergeCell ref="J727:K727"/>
    <mergeCell ref="J728:K728"/>
    <mergeCell ref="J729:K729"/>
    <mergeCell ref="J730:K730"/>
    <mergeCell ref="C733:C735"/>
    <mergeCell ref="F733:F735"/>
    <mergeCell ref="D733:D735"/>
    <mergeCell ref="E733:E735"/>
    <mergeCell ref="D738:H738"/>
    <mergeCell ref="E739:H739"/>
    <mergeCell ref="E740:H740"/>
    <mergeCell ref="E741:H741"/>
    <mergeCell ref="E742:H742"/>
    <mergeCell ref="E743:H743"/>
    <mergeCell ref="E744:H744"/>
    <mergeCell ref="E745:H745"/>
    <mergeCell ref="E746:H746"/>
    <mergeCell ref="E747:H747"/>
    <mergeCell ref="E748:H748"/>
    <mergeCell ref="E749:H749"/>
    <mergeCell ref="E750:H750"/>
    <mergeCell ref="E751:H751"/>
    <mergeCell ref="E752:H752"/>
    <mergeCell ref="J757:K757"/>
    <mergeCell ref="J758:K758"/>
    <mergeCell ref="J759:K759"/>
    <mergeCell ref="J760:K760"/>
    <mergeCell ref="G757:I764"/>
    <mergeCell ref="C763:C765"/>
    <mergeCell ref="D763:D765"/>
    <mergeCell ref="E763:E765"/>
    <mergeCell ref="F763:F765"/>
    <mergeCell ref="H765:I765"/>
    <mergeCell ref="H766:I766"/>
  </mergeCells>
  <dataValidations>
    <dataValidation type="list" allowBlank="1" sqref="K572">
      <formula1>"Success,Pass,Fail"</formula1>
    </dataValidation>
    <dataValidation type="list" allowBlank="1" sqref="J17:J30 J47:J60 J77:J90 J107:J120 J137:J150 J167:J180 J197:J210 J227:J240 J257:J270 J287:J300 J317:J330 J347:J360 J377:J390 J407:J420 J437:J450 J467:J480 J498:J511 J528:J541 J558:J572 J589:J602 J619:J632 J649:J662 J679:J692 J709:J722 J739:J752 J769:J782 J799:J812 J829:J842 J859:J872 J889:J902 J919:J932 J949:J962 J979:J992 J1009:J1022 J1039:J1052 J1069:J1082">
      <formula1>"Pending,Approved"</formula1>
    </dataValidation>
    <dataValidation type="list" allowBlank="1" sqref="L17:L30 L47:L60 L77:L90 L107:L120 L137:L150 L167:L180 L197:L210 L227:L240 L257:L270 L287:L300 L317:L330 L347:L360 L377:L390 L407:L420 L437:L450 L467:L480 L498:L511 L528:L541 L558:L571 L589:L602 L619:L632 L649:L662 L679:L692 L709:L722 L739:L752 L769:L782 L799:L812 L829:L842 L859:L872 L889:L902 L919:L932 L949:L962 L979:L992 L1009:L1022 L1039:L1052 L1069:L1082">
      <formula1>"Fail,Complete"</formula1>
    </dataValidation>
    <dataValidation type="list" allowBlank="1" sqref="K17:K30 K47:K60 K77:K90 K107:K120 K137:K150 K167:K180 K197:K210 K227:K240 K257:K270 K287:K300 K317:K330 K347:K360 K377:K390 K407:K420 K437:K450 K467:K480 K498:K511 K528:K541 K558:K571 K589:K602 K619:K632 K649:K662 K679:K692 K709:K722 K739:K752 K769:K782 K799:K812 K829:K842 K859:K872 K889:K902 K919:K932 K949:K962 K979:K992 K1009:K1022 K1039:K1052 K1069:K1082">
      <formula1>"1,2,3,4,5"</formula1>
    </dataValidation>
  </dataValidations>
  <hyperlinks>
    <hyperlink display="🎮Dashboard" location="DashBoard!A1" ref="J1"/>
    <hyperlink display="📈Summary" location="Summary!A1" ref="K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66.0"/>
    <col customWidth="1" min="8" max="8" width="25.5"/>
    <col customWidth="1" min="11" max="11" width="27.63"/>
    <col customWidth="1" min="12" max="12" width="26.0"/>
    <col customWidth="1" min="13" max="13" width="18.38"/>
    <col customWidth="1" min="14" max="14" width="20.63"/>
    <col customWidth="1" min="15" max="15" width="25.75"/>
    <col customWidth="1" min="16" max="16" width="29.25"/>
  </cols>
  <sheetData>
    <row r="1">
      <c r="A1" s="197" t="str">
        <f>IFERROR(__xludf.DUMMYFUNCTION("importrange(""https://docs.google.com/spreadsheets/d/1lLUezGr04gttZmCjozdXOUr60iM6OX1ezrYWKwC1J1g/edit?usp=sharing"",""Data!A:Z"")"),"Tên người đánh giá ")</f>
        <v>Tên người đánh giá </v>
      </c>
      <c r="B1" s="197" t="str">
        <f>IFERROR(__xludf.DUMMYFUNCTION("""COMPUTED_VALUE"""),"Thời gian")</f>
        <v>Thời gian</v>
      </c>
      <c r="C1" s="197" t="str">
        <f>IFERROR(__xludf.DUMMYFUNCTION("""COMPUTED_VALUE"""),"1. Penalty &amp; Bonus Staff")</f>
        <v>1. Penalty &amp; Bonus Staff</v>
      </c>
      <c r="D1" s="197" t="str">
        <f>IFERROR(__xludf.DUMMYFUNCTION("""COMPUTED_VALUE"""),"2. Reason - 이유:")</f>
        <v>2. Reason - 이유:</v>
      </c>
      <c r="E1" s="197" t="str">
        <f>IFERROR(__xludf.DUMMYFUNCTION("""COMPUTED_VALUE"""),"3. Penalty Point (-) / Bonus Point (+) ")</f>
        <v>3. Penalty Point (-) / Bonus Point (+) </v>
      </c>
      <c r="F1" s="197"/>
      <c r="G1" s="197" t="str">
        <f>IFERROR(__xludf.DUMMYFUNCTION("""COMPUTED_VALUE"""),"DO NOT DELETE")</f>
        <v>DO NOT DELETE</v>
      </c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</row>
    <row r="2">
      <c r="A2" s="197" t="str">
        <f>IFERROR(__xludf.DUMMYFUNCTION("""COMPUTED_VALUE"""),"Luật Tô Vũ")</f>
        <v>Luật Tô Vũ</v>
      </c>
      <c r="B2" s="409">
        <f>IFERROR(__xludf.DUMMYFUNCTION("""COMPUTED_VALUE"""),45818.62453634259)</f>
        <v>45818.62454</v>
      </c>
      <c r="C2" s="197" t="str">
        <f>IFERROR(__xludf.DUMMYFUNCTION("""COMPUTED_VALUE"""),"100.Hieu")</f>
        <v>100.Hieu</v>
      </c>
      <c r="D2" s="197" t="str">
        <f>IFERROR(__xludf.DUMMYFUNCTION("""COMPUTED_VALUE"""),"Prepare to pick up Boss")</f>
        <v>Prepare to pick up Boss</v>
      </c>
      <c r="E2" s="197">
        <f>IFERROR(__xludf.DUMMYFUNCTION("""COMPUTED_VALUE"""),1.0)</f>
        <v>1</v>
      </c>
      <c r="F2" s="197"/>
      <c r="G2" s="197">
        <f>IFERROR(__xludf.DUMMYFUNCTION("""COMPUTED_VALUE"""),8.0)</f>
        <v>8</v>
      </c>
      <c r="H2" s="197" t="str">
        <f>IFERROR(__xludf.DUMMYFUNCTION("""COMPUTED_VALUE"""),"000.Luat")</f>
        <v>000.Luat</v>
      </c>
      <c r="I2" s="197" t="str">
        <f>IFERROR(__xludf.DUMMYFUNCTION("""COMPUTED_VALUE"""),"Manager")</f>
        <v>Manager</v>
      </c>
      <c r="J2" s="197" t="str">
        <f>IFERROR(__xludf.DUMMYFUNCTION("""COMPUTED_VALUE"""),"손민창 (Son, MinChang)")</f>
        <v>손민창 (Son, MinChang)</v>
      </c>
      <c r="K2" s="197" t="str">
        <f>IFERROR(__xludf.DUMMYFUNCTION("""COMPUTED_VALUE"""),"Đỗ Duy Anh")</f>
        <v>Đỗ Duy Anh</v>
      </c>
      <c r="L2" s="197" t="str">
        <f>IFERROR(__xludf.DUMMYFUNCTION("""COMPUTED_VALUE"""),"Luật Tô Vũ")</f>
        <v>Luật Tô Vũ</v>
      </c>
      <c r="M2" s="197" t="str">
        <f>IFERROR(__xludf.DUMMYFUNCTION("""COMPUTED_VALUE"""),"Luật Tô Vũ")</f>
        <v>Luật Tô Vũ</v>
      </c>
      <c r="N2" s="197" t="str">
        <f>IFERROR(__xludf.DUMMYFUNCTION("""COMPUTED_VALUE"""),"Tâm Trương Minh")</f>
        <v>Tâm Trương Minh</v>
      </c>
      <c r="O2" s="197" t="str">
        <f>IFERROR(__xludf.DUMMYFUNCTION("""COMPUTED_VALUE"""),"Trang Nguyen Thu")</f>
        <v>Trang Nguyen Thu</v>
      </c>
      <c r="P2" s="197"/>
      <c r="Q2" s="197"/>
      <c r="R2" s="197"/>
      <c r="S2" s="197"/>
      <c r="T2" s="197"/>
      <c r="U2" s="197"/>
      <c r="V2" s="197"/>
      <c r="W2" s="197"/>
      <c r="X2" s="197"/>
      <c r="Y2" s="197"/>
    </row>
    <row r="3">
      <c r="A3" s="197" t="str">
        <f>IFERROR(__xludf.DUMMYFUNCTION("""COMPUTED_VALUE"""),"Huong Nguyen Lan")</f>
        <v>Huong Nguyen Lan</v>
      </c>
      <c r="B3" s="409">
        <f>IFERROR(__xludf.DUMMYFUNCTION("""COMPUTED_VALUE"""),45819.67295664352)</f>
        <v>45819.67296</v>
      </c>
      <c r="C3" s="197" t="str">
        <f>IFERROR(__xludf.DUMMYFUNCTION("""COMPUTED_VALUE"""),"VPA.Trang")</f>
        <v>VPA.Trang</v>
      </c>
      <c r="D3" s="197" t="str">
        <f>IFERROR(__xludf.DUMMYFUNCTION("""COMPUTED_VALUE"""),"FLC QB")</f>
        <v>FLC QB</v>
      </c>
      <c r="E3" s="197">
        <f>IFERROR(__xludf.DUMMYFUNCTION("""COMPUTED_VALUE"""),1.0)</f>
        <v>1</v>
      </c>
      <c r="F3" s="197"/>
      <c r="G3" s="197">
        <f>IFERROR(__xludf.DUMMYFUNCTION("""COMPUTED_VALUE"""),0.0)</f>
        <v>0</v>
      </c>
      <c r="H3" s="197" t="str">
        <f>IFERROR(__xludf.DUMMYFUNCTION("""COMPUTED_VALUE"""),"100.Hieu")</f>
        <v>100.Hieu</v>
      </c>
      <c r="I3" s="197" t="str">
        <f>IFERROR(__xludf.DUMMYFUNCTION("""COMPUTED_VALUE"""),"Staff")</f>
        <v>Staff</v>
      </c>
      <c r="J3" s="197"/>
      <c r="K3" s="197"/>
      <c r="L3" s="197"/>
      <c r="M3" s="197" t="str">
        <f>IFERROR(__xludf.DUMMYFUNCTION("""COMPUTED_VALUE"""),"000.Luat")</f>
        <v>000.Luat</v>
      </c>
      <c r="N3" s="197" t="str">
        <f>IFERROR(__xludf.DUMMYFUNCTION("""COMPUTED_VALUE"""),"500.Tam")</f>
        <v>500.Tam</v>
      </c>
      <c r="O3" s="197" t="str">
        <f>IFERROR(__xludf.DUMMYFUNCTION("""COMPUTED_VALUE"""),"VPA.Trang")</f>
        <v>VPA.Trang</v>
      </c>
      <c r="P3" s="197"/>
      <c r="Q3" s="197"/>
      <c r="R3" s="197"/>
      <c r="S3" s="197"/>
      <c r="T3" s="197"/>
      <c r="U3" s="197"/>
      <c r="V3" s="197"/>
      <c r="W3" s="197"/>
      <c r="X3" s="197"/>
      <c r="Y3" s="197"/>
    </row>
    <row r="4">
      <c r="A4" s="197" t="str">
        <f>IFERROR(__xludf.DUMMYFUNCTION("""COMPUTED_VALUE"""),"Huong Nguyen Lan")</f>
        <v>Huong Nguyen Lan</v>
      </c>
      <c r="B4" s="409">
        <f>IFERROR(__xludf.DUMMYFUNCTION("""COMPUTED_VALUE"""),45819.673548425926)</f>
        <v>45819.67355</v>
      </c>
      <c r="C4" s="197" t="str">
        <f>IFERROR(__xludf.DUMMYFUNCTION("""COMPUTED_VALUE"""),"VPA.Duong")</f>
        <v>VPA.Duong</v>
      </c>
      <c r="D4" s="197" t="str">
        <f>IFERROR(__xludf.DUMMYFUNCTION("""COMPUTED_VALUE"""),"Dao Tan concept")</f>
        <v>Dao Tan concept</v>
      </c>
      <c r="E4" s="197">
        <f>IFERROR(__xludf.DUMMYFUNCTION("""COMPUTED_VALUE"""),1.0)</f>
        <v>1</v>
      </c>
      <c r="F4" s="197"/>
      <c r="G4" s="197">
        <f>IFERROR(__xludf.DUMMYFUNCTION("""COMPUTED_VALUE"""),-2.0)</f>
        <v>-2</v>
      </c>
      <c r="H4" s="197" t="str">
        <f>IFERROR(__xludf.DUMMYFUNCTION("""COMPUTED_VALUE"""),"200.Duy Anh")</f>
        <v>200.Duy Anh</v>
      </c>
      <c r="I4" s="197" t="str">
        <f>IFERROR(__xludf.DUMMYFUNCTION("""COMPUTED_VALUE"""),"Staff")</f>
        <v>Staff</v>
      </c>
      <c r="J4" s="197" t="str">
        <f>IFERROR(__xludf.DUMMYFUNCTION("""COMPUTED_VALUE"""),"NHỮNG NGƯỜI CÓ THỂ ĐÁNH GIÁ TẤT")</f>
        <v>NHỮNG NGƯỜI CÓ THỂ ĐÁNH GIÁ TẤT</v>
      </c>
      <c r="K4" s="197"/>
      <c r="L4" s="197"/>
      <c r="M4" s="197" t="str">
        <f>IFERROR(__xludf.DUMMYFUNCTION("""COMPUTED_VALUE"""),"200.Duy Anh")</f>
        <v>200.Duy Anh</v>
      </c>
      <c r="N4" s="197" t="str">
        <f>IFERROR(__xludf.DUMMYFUNCTION("""COMPUTED_VALUE"""),"500.Quyen")</f>
        <v>500.Quyen</v>
      </c>
      <c r="O4" s="197" t="str">
        <f>IFERROR(__xludf.DUMMYFUNCTION("""COMPUTED_VALUE"""),"VPA.Duong")</f>
        <v>VPA.Duong</v>
      </c>
      <c r="P4" s="197" t="str">
        <f>IFERROR(__xludf.DUMMYFUNCTION("""COMPUTED_VALUE"""),"100.Hieu")</f>
        <v>100.Hieu</v>
      </c>
      <c r="Q4" s="197"/>
      <c r="R4" s="197"/>
      <c r="S4" s="197"/>
      <c r="T4" s="197"/>
      <c r="U4" s="197"/>
      <c r="V4" s="197"/>
      <c r="W4" s="197"/>
      <c r="X4" s="197"/>
      <c r="Y4" s="197"/>
    </row>
    <row r="5">
      <c r="A5" s="197" t="str">
        <f>IFERROR(__xludf.DUMMYFUNCTION("""COMPUTED_VALUE"""),"Huong Nguyen Lan")</f>
        <v>Huong Nguyen Lan</v>
      </c>
      <c r="B5" s="409">
        <f>IFERROR(__xludf.DUMMYFUNCTION("""COMPUTED_VALUE"""),45819.67533875)</f>
        <v>45819.67534</v>
      </c>
      <c r="C5" s="197" t="str">
        <f>IFERROR(__xludf.DUMMYFUNCTION("""COMPUTED_VALUE"""),"VPA.Hieu")</f>
        <v>VPA.Hieu</v>
      </c>
      <c r="D5" s="197" t="str">
        <f>IFERROR(__xludf.DUMMYFUNCTION("""COMPUTED_VALUE"""),"Dao Tan concept")</f>
        <v>Dao Tan concept</v>
      </c>
      <c r="E5" s="197">
        <f>IFERROR(__xludf.DUMMYFUNCTION("""COMPUTED_VALUE"""),1.0)</f>
        <v>1</v>
      </c>
      <c r="F5" s="197"/>
      <c r="G5" s="197">
        <f>IFERROR(__xludf.DUMMYFUNCTION("""COMPUTED_VALUE"""),2.0)</f>
        <v>2</v>
      </c>
      <c r="H5" s="197" t="str">
        <f>IFERROR(__xludf.DUMMYFUNCTION("""COMPUTED_VALUE"""),"200.Tien")</f>
        <v>200.Tien</v>
      </c>
      <c r="I5" s="197" t="str">
        <f>IFERROR(__xludf.DUMMYFUNCTION("""COMPUTED_VALUE"""),"Staff")</f>
        <v>Staff</v>
      </c>
      <c r="J5" s="197" t="str">
        <f>IFERROR(__xludf.DUMMYFUNCTION("""COMPUTED_VALUE"""),"THỨ TỰ STAFFS CỦA 2 BẢNG PHẢI GIỐNG NHAU")</f>
        <v>THỨ TỰ STAFFS CỦA 2 BẢNG PHẢI GIỐNG NHAU</v>
      </c>
      <c r="K5" s="197"/>
      <c r="L5" s="197"/>
      <c r="M5" s="197" t="str">
        <f>IFERROR(__xludf.DUMMYFUNCTION("""COMPUTED_VALUE"""),"200.Tien")</f>
        <v>200.Tien</v>
      </c>
      <c r="N5" s="197" t="str">
        <f>IFERROR(__xludf.DUMMYFUNCTION("""COMPUTED_VALUE"""),"500.Thao")</f>
        <v>500.Thao</v>
      </c>
      <c r="O5" s="197" t="str">
        <f>IFERROR(__xludf.DUMMYFUNCTION("""COMPUTED_VALUE"""),"VPA.Trang")</f>
        <v>VPA.Trang</v>
      </c>
      <c r="P5" s="197" t="str">
        <f>IFERROR(__xludf.DUMMYFUNCTION("""COMPUTED_VALUE"""),"ADC.Quyet")</f>
        <v>ADC.Quyet</v>
      </c>
      <c r="Q5" s="197"/>
      <c r="R5" s="197"/>
      <c r="S5" s="197"/>
      <c r="T5" s="197"/>
      <c r="U5" s="197"/>
      <c r="V5" s="197"/>
      <c r="W5" s="197"/>
      <c r="X5" s="197"/>
      <c r="Y5" s="197"/>
    </row>
    <row r="6">
      <c r="A6" s="197" t="str">
        <f>IFERROR(__xludf.DUMMYFUNCTION("""COMPUTED_VALUE"""),"Huong Nguyen Lan")</f>
        <v>Huong Nguyen Lan</v>
      </c>
      <c r="B6" s="409">
        <f>IFERROR(__xludf.DUMMYFUNCTION("""COMPUTED_VALUE"""),45819.676334351854)</f>
        <v>45819.67633</v>
      </c>
      <c r="C6" s="197" t="str">
        <f>IFERROR(__xludf.DUMMYFUNCTION("""COMPUTED_VALUE"""),"VPA.Quan")</f>
        <v>VPA.Quan</v>
      </c>
      <c r="D6" s="197" t="str">
        <f>IFERROR(__xludf.DUMMYFUNCTION("""COMPUTED_VALUE"""),"Dao Tan concept")</f>
        <v>Dao Tan concept</v>
      </c>
      <c r="E6" s="197">
        <f>IFERROR(__xludf.DUMMYFUNCTION("""COMPUTED_VALUE"""),1.0)</f>
        <v>1</v>
      </c>
      <c r="F6" s="197"/>
      <c r="G6" s="197">
        <f>IFERROR(__xludf.DUMMYFUNCTION("""COMPUTED_VALUE"""),2.0)</f>
        <v>2</v>
      </c>
      <c r="H6" s="197" t="str">
        <f>IFERROR(__xludf.DUMMYFUNCTION("""COMPUTED_VALUE"""),"300.Sim")</f>
        <v>300.Sim</v>
      </c>
      <c r="I6" s="197" t="str">
        <f>IFERROR(__xludf.DUMMYFUNCTION("""COMPUTED_VALUE"""),"Staff")</f>
        <v>Staff</v>
      </c>
      <c r="J6" s="197"/>
      <c r="K6" s="197"/>
      <c r="L6" s="197"/>
      <c r="M6" s="197" t="str">
        <f>IFERROR(__xludf.DUMMYFUNCTION("""COMPUTED_VALUE"""),"300.Sim")</f>
        <v>300.Sim</v>
      </c>
      <c r="N6" s="197" t="str">
        <f>IFERROR(__xludf.DUMMYFUNCTION("""COMPUTED_VALUE"""),"500.Giang")</f>
        <v>500.Giang</v>
      </c>
      <c r="O6" s="197" t="str">
        <f>IFERROR(__xludf.DUMMYFUNCTION("""COMPUTED_VALUE"""),"VPA.Nam")</f>
        <v>VPA.Nam</v>
      </c>
      <c r="P6" s="197" t="str">
        <f>IFERROR(__xludf.DUMMYFUNCTION("""COMPUTED_VALUE"""),"ADC.Thuyet")</f>
        <v>ADC.Thuyet</v>
      </c>
      <c r="Q6" s="197"/>
      <c r="R6" s="197"/>
      <c r="S6" s="197"/>
      <c r="T6" s="197"/>
      <c r="U6" s="197"/>
      <c r="V6" s="197"/>
      <c r="W6" s="197"/>
      <c r="X6" s="197"/>
      <c r="Y6" s="197"/>
    </row>
    <row r="7">
      <c r="A7" s="197" t="str">
        <f>IFERROR(__xludf.DUMMYFUNCTION("""COMPUTED_VALUE"""),"Huong Nguyen Lan")</f>
        <v>Huong Nguyen Lan</v>
      </c>
      <c r="B7" s="409">
        <f>IFERROR(__xludf.DUMMYFUNCTION("""COMPUTED_VALUE"""),45819.67854432871)</f>
        <v>45819.67854</v>
      </c>
      <c r="C7" s="197" t="str">
        <f>IFERROR(__xludf.DUMMYFUNCTION("""COMPUTED_VALUE"""),"VPA.Trang")</f>
        <v>VPA.Trang</v>
      </c>
      <c r="D7" s="197" t="str">
        <f>IFERROR(__xludf.DUMMYFUNCTION("""COMPUTED_VALUE"""),"SOJO")</f>
        <v>SOJO</v>
      </c>
      <c r="E7" s="197">
        <f>IFERROR(__xludf.DUMMYFUNCTION("""COMPUTED_VALUE"""),2.0)</f>
        <v>2</v>
      </c>
      <c r="F7" s="197"/>
      <c r="G7" s="197">
        <f>IFERROR(__xludf.DUMMYFUNCTION("""COMPUTED_VALUE"""),1.0)</f>
        <v>1</v>
      </c>
      <c r="H7" s="197" t="str">
        <f>IFERROR(__xludf.DUMMYFUNCTION("""COMPUTED_VALUE"""),"300.Thuy")</f>
        <v>300.Thuy</v>
      </c>
      <c r="I7" s="197" t="str">
        <f>IFERROR(__xludf.DUMMYFUNCTION("""COMPUTED_VALUE"""),"Staff")</f>
        <v>Staff</v>
      </c>
      <c r="J7" s="197"/>
      <c r="K7" s="197"/>
      <c r="L7" s="197"/>
      <c r="M7" s="197" t="str">
        <f>IFERROR(__xludf.DUMMYFUNCTION("""COMPUTED_VALUE"""),"300.Hong")</f>
        <v>300.Hong</v>
      </c>
      <c r="N7" s="197"/>
      <c r="O7" s="197" t="str">
        <f>IFERROR(__xludf.DUMMYFUNCTION("""COMPUTED_VALUE"""),"VPA.Quan")</f>
        <v>VPA.Quan</v>
      </c>
      <c r="P7" s="197" t="str">
        <f>IFERROR(__xludf.DUMMYFUNCTION("""COMPUTED_VALUE"""),"TYM.Kien")</f>
        <v>TYM.Kien</v>
      </c>
      <c r="Q7" s="197"/>
      <c r="R7" s="197"/>
      <c r="S7" s="197"/>
      <c r="T7" s="197"/>
      <c r="U7" s="197"/>
      <c r="V7" s="197"/>
      <c r="W7" s="197"/>
      <c r="X7" s="197"/>
      <c r="Y7" s="197"/>
    </row>
    <row r="8">
      <c r="A8" s="197" t="str">
        <f>IFERROR(__xludf.DUMMYFUNCTION("""COMPUTED_VALUE"""),"손민창 (Son, MinChang)")</f>
        <v>손민창 (Son, MinChang)</v>
      </c>
      <c r="B8" s="410">
        <f>IFERROR(__xludf.DUMMYFUNCTION("""COMPUTED_VALUE"""),45664.570943935185)</f>
        <v>45664.57094</v>
      </c>
      <c r="C8" s="197" t="str">
        <f>IFERROR(__xludf.DUMMYFUNCTION("""COMPUTED_VALUE"""),"ADC.Thuyet")</f>
        <v>ADC.Thuyet</v>
      </c>
      <c r="D8" s="197" t="str">
        <f>IFERROR(__xludf.DUMMYFUNCTION("""COMPUTED_VALUE"""),"문자 확인")</f>
        <v>문자 확인</v>
      </c>
      <c r="E8" s="197">
        <f>IFERROR(__xludf.DUMMYFUNCTION("""COMPUTED_VALUE"""),1.0)</f>
        <v>1</v>
      </c>
      <c r="F8" s="197"/>
      <c r="G8" s="197">
        <f>IFERROR(__xludf.DUMMYFUNCTION("""COMPUTED_VALUE"""),0.0)</f>
        <v>0</v>
      </c>
      <c r="H8" s="197" t="str">
        <f>IFERROR(__xludf.DUMMYFUNCTION("""COMPUTED_VALUE"""),"300.Trang")</f>
        <v>300.Trang</v>
      </c>
      <c r="I8" s="197" t="str">
        <f>IFERROR(__xludf.DUMMYFUNCTION("""COMPUTED_VALUE"""),"Staff")</f>
        <v>Staff</v>
      </c>
      <c r="J8" s="197"/>
      <c r="K8" s="197"/>
      <c r="L8" s="197"/>
      <c r="M8" s="197" t="str">
        <f>IFERROR(__xludf.DUMMYFUNCTION("""COMPUTED_VALUE"""),"300.Thuy")</f>
        <v>300.Thuy</v>
      </c>
      <c r="N8" s="197"/>
      <c r="O8" s="197" t="str">
        <f>IFERROR(__xludf.DUMMYFUNCTION("""COMPUTED_VALUE"""),"VPA.Trung")</f>
        <v>VPA.Trung</v>
      </c>
      <c r="P8" s="197"/>
      <c r="Q8" s="197"/>
      <c r="R8" s="197"/>
      <c r="S8" s="197"/>
      <c r="T8" s="197"/>
      <c r="U8" s="197"/>
      <c r="V8" s="197"/>
      <c r="W8" s="197"/>
      <c r="X8" s="197"/>
      <c r="Y8" s="197"/>
    </row>
    <row r="9">
      <c r="A9" s="197" t="str">
        <f>IFERROR(__xludf.DUMMYFUNCTION("""COMPUTED_VALUE"""),"손민창 (Son, MinChang)")</f>
        <v>손민창 (Son, MinChang)</v>
      </c>
      <c r="B9" s="410">
        <f>IFERROR(__xludf.DUMMYFUNCTION("""COMPUTED_VALUE"""),45664.57141609954)</f>
        <v>45664.57142</v>
      </c>
      <c r="C9" s="197" t="str">
        <f>IFERROR(__xludf.DUMMYFUNCTION("""COMPUTED_VALUE"""),"VPA.Duong")</f>
        <v>VPA.Duong</v>
      </c>
      <c r="D9" s="197" t="str">
        <f>IFERROR(__xludf.DUMMYFUNCTION("""COMPUTED_VALUE"""),"문자 확인")</f>
        <v>문자 확인</v>
      </c>
      <c r="E9" s="197">
        <f>IFERROR(__xludf.DUMMYFUNCTION("""COMPUTED_VALUE"""),1.0)</f>
        <v>1</v>
      </c>
      <c r="F9" s="197"/>
      <c r="G9" s="197">
        <f>IFERROR(__xludf.DUMMYFUNCTION("""COMPUTED_VALUE"""),0.0)</f>
        <v>0</v>
      </c>
      <c r="H9" s="197" t="str">
        <f>IFERROR(__xludf.DUMMYFUNCTION("""COMPUTED_VALUE"""),"500.Tam")</f>
        <v>500.Tam</v>
      </c>
      <c r="I9" s="197" t="str">
        <f>IFERROR(__xludf.DUMMYFUNCTION("""COMPUTED_VALUE"""),"Manager")</f>
        <v>Manager</v>
      </c>
      <c r="J9" s="197"/>
      <c r="K9" s="197"/>
      <c r="L9" s="197"/>
      <c r="M9" s="197" t="str">
        <f>IFERROR(__xludf.DUMMYFUNCTION("""COMPUTED_VALUE"""),"300.Trang")</f>
        <v>300.Trang</v>
      </c>
      <c r="N9" s="197"/>
      <c r="O9" s="197" t="str">
        <f>IFERROR(__xludf.DUMMYFUNCTION("""COMPUTED_VALUE"""),"VPA.Hieu")</f>
        <v>VPA.Hieu</v>
      </c>
      <c r="P9" s="411"/>
      <c r="Q9" s="197"/>
      <c r="R9" s="197"/>
      <c r="S9" s="197"/>
      <c r="T9" s="197"/>
      <c r="U9" s="197"/>
      <c r="V9" s="197"/>
      <c r="W9" s="197"/>
      <c r="X9" s="197"/>
      <c r="Y9" s="197"/>
    </row>
    <row r="10">
      <c r="A10" s="197" t="str">
        <f>IFERROR(__xludf.DUMMYFUNCTION("""COMPUTED_VALUE"""),"손민창 (Son, MinChang)")</f>
        <v>손민창 (Son, MinChang)</v>
      </c>
      <c r="B10" s="410">
        <f>IFERROR(__xludf.DUMMYFUNCTION("""COMPUTED_VALUE"""),45664.57192729166)</f>
        <v>45664.57193</v>
      </c>
      <c r="C10" s="197" t="str">
        <f>IFERROR(__xludf.DUMMYFUNCTION("""COMPUTED_VALUE"""),"000.Luat")</f>
        <v>000.Luat</v>
      </c>
      <c r="D10" s="197" t="str">
        <f>IFERROR(__xludf.DUMMYFUNCTION("""COMPUTED_VALUE"""),"문자 확인")</f>
        <v>문자 확인</v>
      </c>
      <c r="E10" s="197">
        <f>IFERROR(__xludf.DUMMYFUNCTION("""COMPUTED_VALUE"""),1.0)</f>
        <v>1</v>
      </c>
      <c r="F10" s="197"/>
      <c r="G10" s="197">
        <f>IFERROR(__xludf.DUMMYFUNCTION("""COMPUTED_VALUE"""),9.0)</f>
        <v>9</v>
      </c>
      <c r="H10" s="197" t="str">
        <f>IFERROR(__xludf.DUMMYFUNCTION("""COMPUTED_VALUE"""),"500.Quyen")</f>
        <v>500.Quyen</v>
      </c>
      <c r="I10" s="197" t="str">
        <f>IFERROR(__xludf.DUMMYFUNCTION("""COMPUTED_VALUE"""),"Staff")</f>
        <v>Staff</v>
      </c>
      <c r="J10" s="197"/>
      <c r="K10" s="197"/>
      <c r="L10" s="197"/>
      <c r="M10" s="197"/>
      <c r="N10" s="197"/>
      <c r="O10" s="200" t="str">
        <f>IFERROR(__xludf.DUMMYFUNCTION("""COMPUTED_VALUE"""),"VPA.Vu")</f>
        <v>VPA.Vu</v>
      </c>
      <c r="P10" s="197"/>
      <c r="Q10" s="197"/>
      <c r="R10" s="197"/>
      <c r="S10" s="197"/>
      <c r="T10" s="197"/>
      <c r="U10" s="197"/>
      <c r="V10" s="197"/>
      <c r="W10" s="197"/>
      <c r="X10" s="197"/>
      <c r="Y10" s="197"/>
    </row>
    <row r="11">
      <c r="A11" s="197" t="str">
        <f>IFERROR(__xludf.DUMMYFUNCTION("""COMPUTED_VALUE"""),"손민창 (Son, MinChang)")</f>
        <v>손민창 (Son, MinChang)</v>
      </c>
      <c r="B11" s="410">
        <f>IFERROR(__xludf.DUMMYFUNCTION("""COMPUTED_VALUE"""),45673.53930575232)</f>
        <v>45673.53931</v>
      </c>
      <c r="C11" s="197" t="str">
        <f>IFERROR(__xludf.DUMMYFUNCTION("""COMPUTED_VALUE"""),"500.Tam")</f>
        <v>500.Tam</v>
      </c>
      <c r="D11" s="197" t="str">
        <f>IFERROR(__xludf.DUMMYFUNCTION("""COMPUTED_VALUE"""),"양식 규정미비")</f>
        <v>양식 규정미비</v>
      </c>
      <c r="E11" s="197">
        <f>IFERROR(__xludf.DUMMYFUNCTION("""COMPUTED_VALUE"""),-2.0)</f>
        <v>-2</v>
      </c>
      <c r="F11" s="197"/>
      <c r="G11" s="197">
        <f>IFERROR(__xludf.DUMMYFUNCTION("""COMPUTED_VALUE"""),1.0)</f>
        <v>1</v>
      </c>
      <c r="H11" s="197" t="str">
        <f>IFERROR(__xludf.DUMMYFUNCTION("""COMPUTED_VALUE"""),"500.Thao")</f>
        <v>500.Thao</v>
      </c>
      <c r="I11" s="197" t="str">
        <f>IFERROR(__xludf.DUMMYFUNCTION("""COMPUTED_VALUE"""),"Staff")</f>
        <v>Staff</v>
      </c>
      <c r="J11" s="197"/>
      <c r="K11" s="197"/>
      <c r="L11" s="197"/>
      <c r="M11" s="197"/>
      <c r="N11" s="197"/>
      <c r="O11" s="197" t="str">
        <f>IFERROR(__xludf.DUMMYFUNCTION("""COMPUTED_VALUE"""),"VPA.Thanh")</f>
        <v>VPA.Thanh</v>
      </c>
      <c r="P11" s="197"/>
      <c r="Q11" s="197"/>
      <c r="R11" s="197"/>
      <c r="S11" s="197"/>
      <c r="T11" s="197"/>
      <c r="U11" s="197"/>
      <c r="V11" s="197"/>
      <c r="W11" s="197"/>
      <c r="X11" s="197"/>
      <c r="Y11" s="197"/>
    </row>
    <row r="12">
      <c r="A12" s="197" t="str">
        <f>IFERROR(__xludf.DUMMYFUNCTION("""COMPUTED_VALUE"""),"손민창 (Son, MinChang)")</f>
        <v>손민창 (Son, MinChang)</v>
      </c>
      <c r="B12" s="410">
        <f>IFERROR(__xludf.DUMMYFUNCTION("""COMPUTED_VALUE"""),45673.67881612269)</f>
        <v>45673.67882</v>
      </c>
      <c r="C12" s="197" t="str">
        <f>IFERROR(__xludf.DUMMYFUNCTION("""COMPUTED_VALUE"""),"VPA.Lan Huong")</f>
        <v>VPA.Lan Huong</v>
      </c>
      <c r="D12" s="197" t="str">
        <f>IFERROR(__xludf.DUMMYFUNCTION("""COMPUTED_VALUE"""),"롱칸 차량 미흡")</f>
        <v>롱칸 차량 미흡</v>
      </c>
      <c r="E12" s="197">
        <f>IFERROR(__xludf.DUMMYFUNCTION("""COMPUTED_VALUE"""),-2.0)</f>
        <v>-2</v>
      </c>
      <c r="F12" s="197"/>
      <c r="G12" s="197">
        <f>IFERROR(__xludf.DUMMYFUNCTION("""COMPUTED_VALUE"""),2.0)</f>
        <v>2</v>
      </c>
      <c r="H12" s="197" t="str">
        <f>IFERROR(__xludf.DUMMYFUNCTION("""COMPUTED_VALUE"""),"500.Giang")</f>
        <v>500.Giang</v>
      </c>
      <c r="I12" s="197" t="str">
        <f>IFERROR(__xludf.DUMMYFUNCTION("""COMPUTED_VALUE"""),"Staff")</f>
        <v>Staff</v>
      </c>
      <c r="J12" s="197"/>
      <c r="K12" s="197"/>
      <c r="L12" s="197"/>
      <c r="M12" s="197"/>
      <c r="N12" s="197"/>
      <c r="O12" s="197" t="str">
        <f>IFERROR(__xludf.DUMMYFUNCTION("""COMPUTED_VALUE"""),"VPA.Huyen")</f>
        <v>VPA.Huyen</v>
      </c>
      <c r="P12" s="197"/>
      <c r="Q12" s="197"/>
      <c r="R12" s="197"/>
      <c r="S12" s="197"/>
      <c r="T12" s="197"/>
      <c r="U12" s="197"/>
      <c r="V12" s="197"/>
      <c r="W12" s="197"/>
      <c r="X12" s="197"/>
      <c r="Y12" s="197"/>
    </row>
    <row r="13">
      <c r="A13" s="197" t="str">
        <f>IFERROR(__xludf.DUMMYFUNCTION("""COMPUTED_VALUE"""),"손민창 (Son, MinChang)")</f>
        <v>손민창 (Son, MinChang)</v>
      </c>
      <c r="B13" s="410">
        <f>IFERROR(__xludf.DUMMYFUNCTION("""COMPUTED_VALUE"""),45673.68800273148)</f>
        <v>45673.688</v>
      </c>
      <c r="C13" s="197" t="str">
        <f>IFERROR(__xludf.DUMMYFUNCTION("""COMPUTED_VALUE"""),"VPA.Lan Huong")</f>
        <v>VPA.Lan Huong</v>
      </c>
      <c r="D13" s="197" t="str">
        <f>IFERROR(__xludf.DUMMYFUNCTION("""COMPUTED_VALUE"""),"좋은 호텔")</f>
        <v>좋은 호텔</v>
      </c>
      <c r="E13" s="197">
        <f>IFERROR(__xludf.DUMMYFUNCTION("""COMPUTED_VALUE"""),1.0)</f>
        <v>1</v>
      </c>
      <c r="F13" s="197"/>
      <c r="G13" s="197">
        <f>IFERROR(__xludf.DUMMYFUNCTION("""COMPUTED_VALUE"""),0.0)</f>
        <v>0</v>
      </c>
      <c r="H13" s="197" t="str">
        <f>IFERROR(__xludf.DUMMYFUNCTION("""COMPUTED_VALUE"""),"VPA.Lan Huong")</f>
        <v>VPA.Lan Huong</v>
      </c>
      <c r="I13" s="197" t="str">
        <f>IFERROR(__xludf.DUMMYFUNCTION("""COMPUTED_VALUE"""),"Vice Director")</f>
        <v>Vice Director</v>
      </c>
      <c r="J13" s="197"/>
      <c r="K13" s="197"/>
      <c r="L13" s="197"/>
      <c r="M13" s="197"/>
      <c r="N13" s="197"/>
      <c r="O13" s="197"/>
      <c r="P13" s="197"/>
      <c r="Q13" s="197"/>
      <c r="R13" s="197"/>
      <c r="S13" s="197"/>
      <c r="T13" s="197"/>
      <c r="U13" s="197"/>
      <c r="V13" s="197"/>
      <c r="W13" s="197"/>
      <c r="X13" s="197"/>
      <c r="Y13" s="197"/>
    </row>
    <row r="14">
      <c r="A14" s="197" t="str">
        <f>IFERROR(__xludf.DUMMYFUNCTION("""COMPUTED_VALUE"""),"손민창 (Son, MinChang)")</f>
        <v>손민창 (Son, MinChang)</v>
      </c>
      <c r="B14" s="410">
        <f>IFERROR(__xludf.DUMMYFUNCTION("""COMPUTED_VALUE"""),45681.475090625)</f>
        <v>45681.47509</v>
      </c>
      <c r="C14" s="197" t="str">
        <f>IFERROR(__xludf.DUMMYFUNCTION("""COMPUTED_VALUE"""),"500.Tam")</f>
        <v>500.Tam</v>
      </c>
      <c r="D14" s="197" t="str">
        <f>IFERROR(__xludf.DUMMYFUNCTION("""COMPUTED_VALUE"""),"문서번호 틀림")</f>
        <v>문서번호 틀림</v>
      </c>
      <c r="E14" s="197">
        <f>IFERROR(__xludf.DUMMYFUNCTION("""COMPUTED_VALUE"""),-2.0)</f>
        <v>-2</v>
      </c>
      <c r="F14" s="197"/>
      <c r="G14" s="197">
        <f>IFERROR(__xludf.DUMMYFUNCTION("""COMPUTED_VALUE"""),4.0)</f>
        <v>4</v>
      </c>
      <c r="H14" s="197" t="str">
        <f>IFERROR(__xludf.DUMMYFUNCTION("""COMPUTED_VALUE"""),"VPA.Duong")</f>
        <v>VPA.Duong</v>
      </c>
      <c r="I14" s="197" t="str">
        <f>IFERROR(__xludf.DUMMYFUNCTION("""COMPUTED_VALUE"""),"Leader")</f>
        <v>Leader</v>
      </c>
      <c r="J14" s="197"/>
      <c r="K14" s="197"/>
      <c r="L14" s="197"/>
      <c r="M14" s="197"/>
      <c r="N14" s="197"/>
      <c r="O14" s="197"/>
      <c r="P14" s="197"/>
      <c r="Q14" s="197"/>
      <c r="R14" s="197"/>
      <c r="S14" s="197"/>
      <c r="T14" s="197"/>
      <c r="U14" s="197"/>
      <c r="V14" s="197"/>
      <c r="W14" s="197"/>
      <c r="X14" s="197"/>
      <c r="Y14" s="197"/>
    </row>
    <row r="15">
      <c r="A15" s="197" t="str">
        <f>IFERROR(__xludf.DUMMYFUNCTION("""COMPUTED_VALUE"""),"손민창 (Son, MinChang)")</f>
        <v>손민창 (Son, MinChang)</v>
      </c>
      <c r="B15" s="410">
        <f>IFERROR(__xludf.DUMMYFUNCTION("""COMPUTED_VALUE"""),45681.852110555556)</f>
        <v>45681.85211</v>
      </c>
      <c r="C15" s="197" t="str">
        <f>IFERROR(__xludf.DUMMYFUNCTION("""COMPUTED_VALUE"""),"300.Thuy")</f>
        <v>300.Thuy</v>
      </c>
      <c r="D15" s="197" t="str">
        <f>IFERROR(__xludf.DUMMYFUNCTION("""COMPUTED_VALUE"""),"건설 문서 리스트")</f>
        <v>건설 문서 리스트</v>
      </c>
      <c r="E15" s="197">
        <f>IFERROR(__xludf.DUMMYFUNCTION("""COMPUTED_VALUE"""),1.0)</f>
        <v>1</v>
      </c>
      <c r="F15" s="197"/>
      <c r="G15" s="197">
        <f>IFERROR(__xludf.DUMMYFUNCTION("""COMPUTED_VALUE"""),4.0)</f>
        <v>4</v>
      </c>
      <c r="H15" s="197" t="str">
        <f>IFERROR(__xludf.DUMMYFUNCTION("""COMPUTED_VALUE"""),"VPA.Trang")</f>
        <v>VPA.Trang</v>
      </c>
      <c r="I15" s="197" t="str">
        <f>IFERROR(__xludf.DUMMYFUNCTION("""COMPUTED_VALUE"""),"Leader")</f>
        <v>Leader</v>
      </c>
      <c r="J15" s="197"/>
      <c r="K15" s="197"/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</row>
    <row r="16">
      <c r="A16" s="197" t="str">
        <f>IFERROR(__xludf.DUMMYFUNCTION("""COMPUTED_VALUE"""),"손민창 (Son, MinChang)")</f>
        <v>손민창 (Son, MinChang)</v>
      </c>
      <c r="B16" s="410">
        <f>IFERROR(__xludf.DUMMYFUNCTION("""COMPUTED_VALUE"""),45775.71585760417)</f>
        <v>45775.71586</v>
      </c>
      <c r="C16" s="197" t="str">
        <f>IFERROR(__xludf.DUMMYFUNCTION("""COMPUTED_VALUE"""),"500.Tam")</f>
        <v>500.Tam</v>
      </c>
      <c r="D16" s="197" t="str">
        <f>IFERROR(__xludf.DUMMYFUNCTION("""COMPUTED_VALUE"""),"소방 계약서 지연")</f>
        <v>소방 계약서 지연</v>
      </c>
      <c r="E16" s="197">
        <f>IFERROR(__xludf.DUMMYFUNCTION("""COMPUTED_VALUE"""),-1.0)</f>
        <v>-1</v>
      </c>
      <c r="F16" s="197"/>
      <c r="G16" s="197">
        <f>IFERROR(__xludf.DUMMYFUNCTION("""COMPUTED_VALUE"""),2.0)</f>
        <v>2</v>
      </c>
      <c r="H16" s="197" t="str">
        <f>IFERROR(__xludf.DUMMYFUNCTION("""COMPUTED_VALUE"""),"VPA.Nam")</f>
        <v>VPA.Nam</v>
      </c>
      <c r="I16" s="197" t="str">
        <f>IFERROR(__xludf.DUMMYFUNCTION("""COMPUTED_VALUE"""),"Leader")</f>
        <v>Leader</v>
      </c>
      <c r="J16" s="197"/>
      <c r="K16" s="197"/>
      <c r="L16" s="197"/>
      <c r="M16" s="197"/>
      <c r="N16" s="197"/>
      <c r="O16" s="197"/>
      <c r="P16" s="197"/>
      <c r="Q16" s="197"/>
      <c r="R16" s="197"/>
      <c r="S16" s="197"/>
      <c r="T16" s="197"/>
      <c r="U16" s="197"/>
      <c r="V16" s="197"/>
      <c r="W16" s="197"/>
      <c r="X16" s="197"/>
      <c r="Y16" s="197"/>
    </row>
    <row r="17">
      <c r="A17" s="197" t="str">
        <f>IFERROR(__xludf.DUMMYFUNCTION("""COMPUTED_VALUE"""),"손민창 (Son, MinChang)")</f>
        <v>손민창 (Son, MinChang)</v>
      </c>
      <c r="B17" s="410">
        <f>IFERROR(__xludf.DUMMYFUNCTION("""COMPUTED_VALUE"""),45785.62530600694)</f>
        <v>45785.62531</v>
      </c>
      <c r="C17" s="197" t="str">
        <f>IFERROR(__xludf.DUMMYFUNCTION("""COMPUTED_VALUE"""),"VPA.Duong")</f>
        <v>VPA.Duong</v>
      </c>
      <c r="D17" s="197" t="str">
        <f>IFERROR(__xludf.DUMMYFUNCTION("""COMPUTED_VALUE"""),"newland")</f>
        <v>newland</v>
      </c>
      <c r="E17" s="197">
        <f>IFERROR(__xludf.DUMMYFUNCTION("""COMPUTED_VALUE"""),5.0)</f>
        <v>5</v>
      </c>
      <c r="F17" s="197"/>
      <c r="G17" s="197">
        <f>IFERROR(__xludf.DUMMYFUNCTION("""COMPUTED_VALUE"""),0.0)</f>
        <v>0</v>
      </c>
      <c r="H17" s="197" t="str">
        <f>IFERROR(__xludf.DUMMYFUNCTION("""COMPUTED_VALUE"""),"VPA.Quan")</f>
        <v>VPA.Quan</v>
      </c>
      <c r="I17" s="197" t="str">
        <f>IFERROR(__xludf.DUMMYFUNCTION("""COMPUTED_VALUE"""),"Staff")</f>
        <v>Staff</v>
      </c>
      <c r="J17" s="197"/>
      <c r="K17" s="197"/>
      <c r="L17" s="197"/>
      <c r="M17" s="197"/>
      <c r="N17" s="197"/>
      <c r="O17" s="197"/>
      <c r="P17" s="197"/>
      <c r="Q17" s="197"/>
      <c r="R17" s="197"/>
      <c r="S17" s="197"/>
      <c r="T17" s="197"/>
      <c r="U17" s="197"/>
      <c r="V17" s="197"/>
      <c r="W17" s="197"/>
      <c r="X17" s="197"/>
      <c r="Y17" s="197"/>
    </row>
    <row r="18">
      <c r="A18" s="197" t="str">
        <f>IFERROR(__xludf.DUMMYFUNCTION("""COMPUTED_VALUE"""),"손민창 (Son, MinChang)")</f>
        <v>손민창 (Son, MinChang)</v>
      </c>
      <c r="B18" s="410">
        <f>IFERROR(__xludf.DUMMYFUNCTION("""COMPUTED_VALUE"""),45785.62604002315)</f>
        <v>45785.62604</v>
      </c>
      <c r="C18" s="197" t="str">
        <f>IFERROR(__xludf.DUMMYFUNCTION("""COMPUTED_VALUE"""),"VPA.Quan")</f>
        <v>VPA.Quan</v>
      </c>
      <c r="D18" s="197" t="str">
        <f>IFERROR(__xludf.DUMMYFUNCTION("""COMPUTED_VALUE"""),"new land")</f>
        <v>new land</v>
      </c>
      <c r="E18" s="197">
        <f>IFERROR(__xludf.DUMMYFUNCTION("""COMPUTED_VALUE"""),2.0)</f>
        <v>2</v>
      </c>
      <c r="F18" s="197"/>
      <c r="G18" s="197">
        <f>IFERROR(__xludf.DUMMYFUNCTION("""COMPUTED_VALUE"""),0.0)</f>
        <v>0</v>
      </c>
      <c r="H18" s="197" t="str">
        <f>IFERROR(__xludf.DUMMYFUNCTION("""COMPUTED_VALUE"""),"VPA.Quynh")</f>
        <v>VPA.Quynh</v>
      </c>
      <c r="I18" s="197" t="str">
        <f>IFERROR(__xludf.DUMMYFUNCTION("""COMPUTED_VALUE"""),"Staff")</f>
        <v>Staff</v>
      </c>
      <c r="J18" s="197"/>
      <c r="K18" s="197"/>
      <c r="L18" s="197"/>
      <c r="M18" s="197"/>
      <c r="N18" s="197"/>
      <c r="O18" s="197"/>
      <c r="P18" s="197"/>
      <c r="Q18" s="197"/>
      <c r="R18" s="197"/>
      <c r="S18" s="197"/>
      <c r="T18" s="197"/>
      <c r="U18" s="197"/>
      <c r="V18" s="197"/>
      <c r="W18" s="197"/>
      <c r="X18" s="197"/>
      <c r="Y18" s="197"/>
    </row>
    <row r="19">
      <c r="A19" s="197" t="str">
        <f>IFERROR(__xludf.DUMMYFUNCTION("""COMPUTED_VALUE"""),"Luật Tô Vũ")</f>
        <v>Luật Tô Vũ</v>
      </c>
      <c r="B19" s="409">
        <f>IFERROR(__xludf.DUMMYFUNCTION("""COMPUTED_VALUE"""),45826.71213322917)</f>
        <v>45826.71213</v>
      </c>
      <c r="C19" s="197" t="str">
        <f>IFERROR(__xludf.DUMMYFUNCTION("""COMPUTED_VALUE"""),"300.Sim")</f>
        <v>300.Sim</v>
      </c>
      <c r="D19" s="197" t="str">
        <f>IFERROR(__xludf.DUMMYFUNCTION("""COMPUTED_VALUE"""),"Tích cực làm hồ sơ thanh toán")</f>
        <v>Tích cực làm hồ sơ thanh toán</v>
      </c>
      <c r="E19" s="197">
        <f>IFERROR(__xludf.DUMMYFUNCTION("""COMPUTED_VALUE"""),1.0)</f>
        <v>1</v>
      </c>
      <c r="F19" s="197"/>
      <c r="G19" s="197">
        <f>IFERROR(__xludf.DUMMYFUNCTION("""COMPUTED_VALUE"""),0.0)</f>
        <v>0</v>
      </c>
      <c r="H19" s="197" t="str">
        <f>IFERROR(__xludf.DUMMYFUNCTION("""COMPUTED_VALUE"""),"VPA.Hieu")</f>
        <v>VPA.Hieu</v>
      </c>
      <c r="I19" s="197" t="str">
        <f>IFERROR(__xludf.DUMMYFUNCTION("""COMPUTED_VALUE"""),"Staff")</f>
        <v>Staff</v>
      </c>
      <c r="J19" s="197"/>
      <c r="K19" s="197"/>
      <c r="L19" s="197"/>
      <c r="M19" s="197"/>
      <c r="N19" s="197"/>
      <c r="O19" s="197"/>
      <c r="P19" s="197"/>
      <c r="Q19" s="197"/>
      <c r="R19" s="197"/>
      <c r="S19" s="197"/>
      <c r="T19" s="197"/>
      <c r="U19" s="197"/>
      <c r="V19" s="197"/>
      <c r="W19" s="197"/>
      <c r="X19" s="197"/>
      <c r="Y19" s="197"/>
    </row>
    <row r="20">
      <c r="A20" s="197" t="str">
        <f>IFERROR(__xludf.DUMMYFUNCTION("""COMPUTED_VALUE"""),"Luật Tô Vũ")</f>
        <v>Luật Tô Vũ</v>
      </c>
      <c r="B20" s="409">
        <f>IFERROR(__xludf.DUMMYFUNCTION("""COMPUTED_VALUE"""),45827.64003458333)</f>
        <v>45827.64003</v>
      </c>
      <c r="C20" s="197" t="str">
        <f>IFERROR(__xludf.DUMMYFUNCTION("""COMPUTED_VALUE"""),"300.Thuy")</f>
        <v>300.Thuy</v>
      </c>
      <c r="D20" s="197" t="str">
        <f>IFERROR(__xludf.DUMMYFUNCTION("""COMPUTED_VALUE"""),"환급 서류 준비, 세금 정산, 2019-2024년 정산 비용 절감 협상 노력")</f>
        <v>환급 서류 준비, 세금 정산, 2019-2024년 정산 비용 절감 협상 노력</v>
      </c>
      <c r="E20" s="197">
        <f>IFERROR(__xludf.DUMMYFUNCTION("""COMPUTED_VALUE"""),2.0)</f>
        <v>2</v>
      </c>
      <c r="F20" s="197"/>
      <c r="G20" s="197">
        <f>IFERROR(__xludf.DUMMYFUNCTION("""COMPUTED_VALUE"""),1.0)</f>
        <v>1</v>
      </c>
      <c r="H20" s="200" t="str">
        <f>IFERROR(__xludf.DUMMYFUNCTION("""COMPUTED_VALUE"""),"VPA.Vu")</f>
        <v>VPA.Vu</v>
      </c>
      <c r="I20" s="411" t="str">
        <f>IFERROR(__xludf.DUMMYFUNCTION("""COMPUTED_VALUE"""),"Staff")</f>
        <v>Staff</v>
      </c>
      <c r="J20" s="197"/>
      <c r="K20" s="197"/>
      <c r="L20" s="197"/>
      <c r="M20" s="197"/>
      <c r="N20" s="197"/>
      <c r="O20" s="197"/>
      <c r="P20" s="197"/>
      <c r="Q20" s="197"/>
      <c r="R20" s="197"/>
      <c r="S20" s="197"/>
      <c r="T20" s="197"/>
      <c r="U20" s="197"/>
      <c r="V20" s="197"/>
      <c r="W20" s="197"/>
      <c r="X20" s="197"/>
      <c r="Y20" s="197"/>
    </row>
    <row r="21">
      <c r="A21" s="197" t="str">
        <f>IFERROR(__xludf.DUMMYFUNCTION("""COMPUTED_VALUE"""),"손민창 (Son, MinChang)")</f>
        <v>손민창 (Son, MinChang)</v>
      </c>
      <c r="B21" s="409">
        <f>IFERROR(__xludf.DUMMYFUNCTION("""COMPUTED_VALUE"""),45832.40648265046)</f>
        <v>45832.40648</v>
      </c>
      <c r="C21" s="197" t="str">
        <f>IFERROR(__xludf.DUMMYFUNCTION("""COMPUTED_VALUE"""),"VPA.Trang")</f>
        <v>VPA.Trang</v>
      </c>
      <c r="D21" s="197" t="str">
        <f>IFERROR(__xludf.DUMMYFUNCTION("""COMPUTED_VALUE"""),"건축 메뉴얼 작성")</f>
        <v>건축 메뉴얼 작성</v>
      </c>
      <c r="E21" s="197">
        <f>IFERROR(__xludf.DUMMYFUNCTION("""COMPUTED_VALUE"""),2.0)</f>
        <v>2</v>
      </c>
      <c r="F21" s="197"/>
      <c r="G21" s="197">
        <f>IFERROR(__xludf.DUMMYFUNCTION("""COMPUTED_VALUE"""),-1.0)</f>
        <v>-1</v>
      </c>
      <c r="H21" s="197" t="str">
        <f>IFERROR(__xludf.DUMMYFUNCTION("""COMPUTED_VALUE"""),"VPA.Thanh")</f>
        <v>VPA.Thanh</v>
      </c>
      <c r="I21" s="197" t="str">
        <f>IFERROR(__xludf.DUMMYFUNCTION("""COMPUTED_VALUE"""),"Staff")</f>
        <v>Staff</v>
      </c>
      <c r="J21" s="197"/>
      <c r="K21" s="197"/>
      <c r="L21" s="197"/>
      <c r="M21" s="197"/>
      <c r="N21" s="197"/>
      <c r="O21" s="197"/>
      <c r="P21" s="197"/>
      <c r="Q21" s="197"/>
      <c r="R21" s="197"/>
      <c r="S21" s="197"/>
      <c r="T21" s="197"/>
      <c r="U21" s="197"/>
      <c r="V21" s="197"/>
      <c r="W21" s="197"/>
      <c r="X21" s="197"/>
      <c r="Y21" s="197"/>
    </row>
    <row r="22">
      <c r="A22" s="197" t="str">
        <f>IFERROR(__xludf.DUMMYFUNCTION("""COMPUTED_VALUE"""),"손민창 (Son, MinChang)")</f>
        <v>손민창 (Son, MinChang)</v>
      </c>
      <c r="B22" s="409">
        <f>IFERROR(__xludf.DUMMYFUNCTION("""COMPUTED_VALUE"""),45832.4081055787)</f>
        <v>45832.40811</v>
      </c>
      <c r="C22" s="197" t="str">
        <f>IFERROR(__xludf.DUMMYFUNCTION("""COMPUTED_VALUE"""),"000.Luat")</f>
        <v>000.Luat</v>
      </c>
      <c r="D22" s="197" t="str">
        <f>IFERROR(__xludf.DUMMYFUNCTION("""COMPUTED_VALUE"""),"good program")</f>
        <v>good program</v>
      </c>
      <c r="E22" s="197">
        <f>IFERROR(__xludf.DUMMYFUNCTION("""COMPUTED_VALUE"""),2.0)</f>
        <v>2</v>
      </c>
      <c r="F22" s="197"/>
      <c r="G22" s="197">
        <f>IFERROR(__xludf.DUMMYFUNCTION("""COMPUTED_VALUE"""),6.0)</f>
        <v>6</v>
      </c>
      <c r="H22" s="197" t="str">
        <f>IFERROR(__xludf.DUMMYFUNCTION("""COMPUTED_VALUE"""),"VPA.Huyen")</f>
        <v>VPA.Huyen</v>
      </c>
      <c r="I22" s="197" t="str">
        <f>IFERROR(__xludf.DUMMYFUNCTION("""COMPUTED_VALUE"""),"Leader")</f>
        <v>Leader</v>
      </c>
      <c r="J22" s="197"/>
      <c r="K22" s="197"/>
      <c r="L22" s="197"/>
      <c r="M22" s="197"/>
      <c r="N22" s="197"/>
      <c r="O22" s="197"/>
      <c r="P22" s="197"/>
      <c r="Q22" s="197"/>
      <c r="R22" s="197"/>
      <c r="S22" s="197"/>
      <c r="T22" s="197"/>
      <c r="U22" s="197"/>
      <c r="V22" s="197"/>
      <c r="W22" s="197"/>
      <c r="X22" s="197"/>
      <c r="Y22" s="197"/>
    </row>
    <row r="23">
      <c r="A23" s="197" t="str">
        <f>IFERROR(__xludf.DUMMYFUNCTION("""COMPUTED_VALUE"""),"손민창 (Son, MinChang)")</f>
        <v>손민창 (Son, MinChang)</v>
      </c>
      <c r="B23" s="409">
        <f>IFERROR(__xludf.DUMMYFUNCTION("""COMPUTED_VALUE"""),45832.4081055787)</f>
        <v>45832.40811</v>
      </c>
      <c r="C23" s="197" t="str">
        <f>IFERROR(__xludf.DUMMYFUNCTION("""COMPUTED_VALUE"""),"200.Duy Anh")</f>
        <v>200.Duy Anh</v>
      </c>
      <c r="D23" s="197" t="str">
        <f>IFERROR(__xludf.DUMMYFUNCTION("""COMPUTED_VALUE"""),"good program")</f>
        <v>good program</v>
      </c>
      <c r="E23" s="197">
        <f>IFERROR(__xludf.DUMMYFUNCTION("""COMPUTED_VALUE"""),2.0)</f>
        <v>2</v>
      </c>
      <c r="F23" s="197"/>
      <c r="G23" s="197">
        <f>IFERROR(__xludf.DUMMYFUNCTION("""COMPUTED_VALUE"""),6.0)</f>
        <v>6</v>
      </c>
      <c r="H23" s="197" t="str">
        <f>IFERROR(__xludf.DUMMYFUNCTION("""COMPUTED_VALUE"""),"ADC.Thuyet")</f>
        <v>ADC.Thuyet</v>
      </c>
      <c r="I23" s="197" t="str">
        <f>IFERROR(__xludf.DUMMYFUNCTION("""COMPUTED_VALUE"""),"Manager")</f>
        <v>Manager</v>
      </c>
      <c r="J23" s="197"/>
      <c r="K23" s="197"/>
      <c r="L23" s="197"/>
      <c r="M23" s="197"/>
      <c r="N23" s="197"/>
      <c r="O23" s="197"/>
      <c r="P23" s="197"/>
      <c r="Q23" s="197"/>
      <c r="R23" s="197"/>
      <c r="S23" s="197"/>
      <c r="T23" s="197"/>
      <c r="U23" s="197"/>
      <c r="V23" s="197"/>
      <c r="W23" s="197"/>
      <c r="X23" s="197"/>
      <c r="Y23" s="197"/>
    </row>
    <row r="24">
      <c r="A24" s="197" t="str">
        <f>IFERROR(__xludf.DUMMYFUNCTION("""COMPUTED_VALUE"""),"Luật Tô Vũ")</f>
        <v>Luật Tô Vũ</v>
      </c>
      <c r="B24" s="409">
        <f>IFERROR(__xludf.DUMMYFUNCTION("""COMPUTED_VALUE"""),45840.38211997686)</f>
        <v>45840.38212</v>
      </c>
      <c r="C24" s="197" t="str">
        <f>IFERROR(__xludf.DUMMYFUNCTION("""COMPUTED_VALUE"""),"200.Duy Anh")</f>
        <v>200.Duy Anh</v>
      </c>
      <c r="D24" s="197" t="str">
        <f>IFERROR(__xludf.DUMMYFUNCTION("""COMPUTED_VALUE"""),"Good Reflection Film for SMAC (20.6.2025)")</f>
        <v>Good Reflection Film for SMAC (20.6.2025)</v>
      </c>
      <c r="E24" s="197">
        <f>IFERROR(__xludf.DUMMYFUNCTION("""COMPUTED_VALUE"""),1.0)</f>
        <v>1</v>
      </c>
      <c r="F24" s="197"/>
      <c r="G24" s="197">
        <f>IFERROR(__xludf.DUMMYFUNCTION("""COMPUTED_VALUE"""),8.0)</f>
        <v>8</v>
      </c>
      <c r="H24" s="197" t="str">
        <f>IFERROR(__xludf.DUMMYFUNCTION("""COMPUTED_VALUE"""),"TYM.Kien")</f>
        <v>TYM.Kien</v>
      </c>
      <c r="I24" s="197" t="str">
        <f>IFERROR(__xludf.DUMMYFUNCTION("""COMPUTED_VALUE"""),"Vice Director")</f>
        <v>Vice Director</v>
      </c>
      <c r="J24" s="197"/>
      <c r="K24" s="197"/>
      <c r="L24" s="197"/>
      <c r="M24" s="197"/>
      <c r="N24" s="197"/>
      <c r="O24" s="197"/>
      <c r="P24" s="197"/>
      <c r="Q24" s="197"/>
      <c r="R24" s="197"/>
      <c r="S24" s="197"/>
      <c r="T24" s="197"/>
      <c r="U24" s="197"/>
      <c r="V24" s="197"/>
      <c r="W24" s="197"/>
      <c r="X24" s="197"/>
      <c r="Y24" s="197"/>
    </row>
    <row r="25">
      <c r="A25" s="197" t="str">
        <f>IFERROR(__xludf.DUMMYFUNCTION("""COMPUTED_VALUE"""),"손민창 (Son, MinChang)")</f>
        <v>손민창 (Son, MinChang)</v>
      </c>
      <c r="B25" s="409">
        <f>IFERROR(__xludf.DUMMYFUNCTION("""COMPUTED_VALUE"""),45849.4584834375)</f>
        <v>45849.45848</v>
      </c>
      <c r="C25" s="197" t="str">
        <f>IFERROR(__xludf.DUMMYFUNCTION("""COMPUTED_VALUE"""),"VPA.Trang")</f>
        <v>VPA.Trang</v>
      </c>
      <c r="D25" s="197" t="str">
        <f>IFERROR(__xludf.DUMMYFUNCTION("""COMPUTED_VALUE"""),"메뉴얼 작성 600")</f>
        <v>메뉴얼 작성 600</v>
      </c>
      <c r="E25" s="197">
        <f>IFERROR(__xludf.DUMMYFUNCTION("""COMPUTED_VALUE"""),2.0)</f>
        <v>2</v>
      </c>
      <c r="F25" s="197"/>
      <c r="G25" s="197">
        <f>IFERROR(__xludf.DUMMYFUNCTION("""COMPUTED_VALUE"""),0.0)</f>
        <v>0</v>
      </c>
      <c r="H25" s="197" t="str">
        <f>IFERROR(__xludf.DUMMYFUNCTION("""COMPUTED_VALUE"""),"ADC.Quyet")</f>
        <v>ADC.Quyet</v>
      </c>
      <c r="I25" s="197" t="str">
        <f>IFERROR(__xludf.DUMMYFUNCTION("""COMPUTED_VALUE"""),"Staff")</f>
        <v>Staff</v>
      </c>
      <c r="J25" s="197"/>
      <c r="K25" s="197"/>
      <c r="L25" s="197"/>
      <c r="M25" s="197"/>
      <c r="N25" s="197"/>
      <c r="O25" s="197"/>
      <c r="P25" s="197"/>
      <c r="Q25" s="197"/>
      <c r="R25" s="197"/>
      <c r="S25" s="197"/>
      <c r="T25" s="197"/>
      <c r="U25" s="197"/>
      <c r="V25" s="197"/>
      <c r="W25" s="197"/>
      <c r="X25" s="197"/>
      <c r="Y25" s="197"/>
    </row>
    <row r="26">
      <c r="A26" s="197" t="str">
        <f>IFERROR(__xludf.DUMMYFUNCTION("""COMPUTED_VALUE"""),"Luật Tô Vũ")</f>
        <v>Luật Tô Vũ</v>
      </c>
      <c r="B26" s="409">
        <f>IFERROR(__xludf.DUMMYFUNCTION("""COMPUTED_VALUE"""),45849.717528506946)</f>
        <v>45849.71753</v>
      </c>
      <c r="C26" s="197" t="str">
        <f>IFERROR(__xludf.DUMMYFUNCTION("""COMPUTED_VALUE"""),"VPA.Duong")</f>
        <v>VPA.Duong</v>
      </c>
      <c r="D26" s="197" t="str">
        <f>IFERROR(__xludf.DUMMYFUNCTION("""COMPUTED_VALUE"""),"1st arrive to education room")</f>
        <v>1st arrive to education room</v>
      </c>
      <c r="E26" s="197">
        <f>IFERROR(__xludf.DUMMYFUNCTION("""COMPUTED_VALUE"""),1.0)</f>
        <v>1</v>
      </c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7"/>
      <c r="Q26" s="197"/>
      <c r="R26" s="197"/>
      <c r="S26" s="197"/>
      <c r="T26" s="197"/>
      <c r="U26" s="197"/>
      <c r="V26" s="197"/>
      <c r="W26" s="197"/>
      <c r="X26" s="197"/>
      <c r="Y26" s="197"/>
    </row>
    <row r="27">
      <c r="A27" s="197" t="str">
        <f>IFERROR(__xludf.DUMMYFUNCTION("""COMPUTED_VALUE"""),"Luật Tô Vũ")</f>
        <v>Luật Tô Vũ</v>
      </c>
      <c r="B27" s="409">
        <f>IFERROR(__xludf.DUMMYFUNCTION("""COMPUTED_VALUE"""),45849.726165266205)</f>
        <v>45849.72617</v>
      </c>
      <c r="C27" s="197" t="str">
        <f>IFERROR(__xludf.DUMMYFUNCTION("""COMPUTED_VALUE"""),"500.Tam")</f>
        <v>500.Tam</v>
      </c>
      <c r="D27" s="197" t="str">
        <f>IFERROR(__xludf.DUMMYFUNCTION("""COMPUTED_VALUE"""),"Good at google sheet translation form")</f>
        <v>Good at google sheet translation form</v>
      </c>
      <c r="E27" s="197">
        <f>IFERROR(__xludf.DUMMYFUNCTION("""COMPUTED_VALUE"""),1.0)</f>
        <v>1</v>
      </c>
      <c r="F27" s="197"/>
      <c r="G27" s="197"/>
      <c r="H27" s="197"/>
      <c r="I27" s="197"/>
      <c r="J27" s="197"/>
      <c r="K27" s="197"/>
      <c r="L27" s="197"/>
      <c r="M27" s="197"/>
      <c r="N27" s="197"/>
      <c r="O27" s="197"/>
      <c r="P27" s="197"/>
      <c r="Q27" s="197"/>
      <c r="R27" s="197"/>
      <c r="S27" s="197"/>
      <c r="T27" s="197"/>
      <c r="U27" s="197"/>
      <c r="V27" s="197"/>
      <c r="W27" s="197"/>
      <c r="X27" s="197"/>
      <c r="Y27" s="197"/>
    </row>
    <row r="28">
      <c r="A28" s="197" t="str">
        <f>IFERROR(__xludf.DUMMYFUNCTION("""COMPUTED_VALUE"""),"Luật Tô Vũ")</f>
        <v>Luật Tô Vũ</v>
      </c>
      <c r="B28" s="409">
        <f>IFERROR(__xludf.DUMMYFUNCTION("""COMPUTED_VALUE"""),45849.734586666666)</f>
        <v>45849.73459</v>
      </c>
      <c r="C28" s="197" t="str">
        <f>IFERROR(__xludf.DUMMYFUNCTION("""COMPUTED_VALUE"""),"VPA.Quan")</f>
        <v>VPA.Quan</v>
      </c>
      <c r="D28" s="197" t="str">
        <f>IFERROR(__xludf.DUMMYFUNCTION("""COMPUTED_VALUE"""),"Good at google sheet translation form")</f>
        <v>Good at google sheet translation form</v>
      </c>
      <c r="E28" s="197">
        <f>IFERROR(__xludf.DUMMYFUNCTION("""COMPUTED_VALUE"""),1.0)</f>
        <v>1</v>
      </c>
      <c r="F28" s="197"/>
      <c r="G28" s="197"/>
      <c r="H28" s="197"/>
      <c r="I28" s="197"/>
      <c r="J28" s="197"/>
      <c r="K28" s="197"/>
      <c r="L28" s="197"/>
      <c r="M28" s="197"/>
      <c r="N28" s="197"/>
      <c r="O28" s="197"/>
      <c r="P28" s="197"/>
      <c r="Q28" s="197"/>
      <c r="R28" s="197"/>
      <c r="S28" s="197"/>
      <c r="T28" s="197"/>
      <c r="U28" s="197"/>
      <c r="V28" s="197"/>
      <c r="W28" s="197"/>
      <c r="X28" s="197"/>
      <c r="Y28" s="197"/>
    </row>
    <row r="29">
      <c r="A29" s="197" t="str">
        <f>IFERROR(__xludf.DUMMYFUNCTION("""COMPUTED_VALUE"""),"Luật Tô Vũ")</f>
        <v>Luật Tô Vũ</v>
      </c>
      <c r="B29" s="409">
        <f>IFERROR(__xludf.DUMMYFUNCTION("""COMPUTED_VALUE"""),45862.62150383102)</f>
        <v>45862.6215</v>
      </c>
      <c r="C29" s="197" t="str">
        <f>IFERROR(__xludf.DUMMYFUNCTION("""COMPUTED_VALUE"""),"200.Duy Anh")</f>
        <v>200.Duy Anh</v>
      </c>
      <c r="D29" s="197" t="str">
        <f>IFERROR(__xludf.DUMMYFUNCTION("""COMPUTED_VALUE"""),"Handle Tucson conflix")</f>
        <v>Handle Tucson conflix</v>
      </c>
      <c r="E29" s="197">
        <f>IFERROR(__xludf.DUMMYFUNCTION("""COMPUTED_VALUE"""),1.0)</f>
        <v>1</v>
      </c>
      <c r="F29" s="197"/>
      <c r="G29" s="197"/>
      <c r="H29" s="197"/>
      <c r="I29" s="197"/>
      <c r="J29" s="197"/>
      <c r="K29" s="197"/>
      <c r="L29" s="197"/>
      <c r="M29" s="197"/>
      <c r="N29" s="197"/>
      <c r="O29" s="197"/>
      <c r="P29" s="197"/>
      <c r="Q29" s="197"/>
      <c r="R29" s="197"/>
      <c r="S29" s="197"/>
      <c r="T29" s="197"/>
      <c r="U29" s="197"/>
      <c r="V29" s="197"/>
      <c r="W29" s="197"/>
      <c r="X29" s="197"/>
      <c r="Y29" s="197"/>
    </row>
    <row r="30">
      <c r="A30" s="197" t="str">
        <f>IFERROR(__xludf.DUMMYFUNCTION("""COMPUTED_VALUE"""),"Luật Tô Vũ")</f>
        <v>Luật Tô Vũ</v>
      </c>
      <c r="B30" s="409">
        <f>IFERROR(__xludf.DUMMYFUNCTION("""COMPUTED_VALUE"""),45892.44171908565)</f>
        <v>45892.44172</v>
      </c>
      <c r="C30" s="197" t="str">
        <f>IFERROR(__xludf.DUMMYFUNCTION("""COMPUTED_VALUE"""),"VPA.Huyen")</f>
        <v>VPA.Huyen</v>
      </c>
      <c r="D30" s="197" t="str">
        <f>IFERROR(__xludf.DUMMYFUNCTION("""COMPUTED_VALUE"""),"Tích cực tham gia thực hành trong buổi đào tạo ngày 22/8/2025")</f>
        <v>Tích cực tham gia thực hành trong buổi đào tạo ngày 22/8/2025</v>
      </c>
      <c r="E30" s="197">
        <f>IFERROR(__xludf.DUMMYFUNCTION("""COMPUTED_VALUE"""),1.0)</f>
        <v>1</v>
      </c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97"/>
      <c r="S30" s="197"/>
      <c r="T30" s="197"/>
      <c r="U30" s="197"/>
      <c r="V30" s="197"/>
      <c r="W30" s="197"/>
      <c r="X30" s="197"/>
      <c r="Y30" s="197"/>
    </row>
    <row r="31">
      <c r="A31" s="197" t="str">
        <f>IFERROR(__xludf.DUMMYFUNCTION("""COMPUTED_VALUE"""),"Huong Nguyen Lan")</f>
        <v>Huong Nguyen Lan</v>
      </c>
      <c r="B31" s="409">
        <f>IFERROR(__xludf.DUMMYFUNCTION("""COMPUTED_VALUE"""),45989.45598990741)</f>
        <v>45989.45599</v>
      </c>
      <c r="C31" s="197" t="str">
        <f>IFERROR(__xludf.DUMMYFUNCTION("""COMPUTED_VALUE"""),"VPA.Huyen")</f>
        <v>VPA.Huyen</v>
      </c>
      <c r="D31" s="197" t="str">
        <f>IFERROR(__xludf.DUMMYFUNCTION("""COMPUTED_VALUE"""),"Hoàn thành BVTC mẫu nhà Đào Tấn")</f>
        <v>Hoàn thành BVTC mẫu nhà Đào Tấn</v>
      </c>
      <c r="E31" s="197">
        <f>IFERROR(__xludf.DUMMYFUNCTION("""COMPUTED_VALUE"""),2.0)</f>
        <v>2</v>
      </c>
      <c r="F31" s="197"/>
      <c r="G31" s="197"/>
      <c r="H31" s="197"/>
      <c r="I31" s="197"/>
      <c r="J31" s="197"/>
      <c r="K31" s="197"/>
      <c r="L31" s="197"/>
      <c r="M31" s="197"/>
      <c r="N31" s="197"/>
      <c r="O31" s="197"/>
      <c r="P31" s="197"/>
      <c r="Q31" s="197"/>
      <c r="R31" s="197"/>
      <c r="S31" s="197"/>
      <c r="T31" s="197"/>
      <c r="U31" s="197"/>
      <c r="V31" s="197"/>
      <c r="W31" s="197"/>
      <c r="X31" s="197"/>
      <c r="Y31" s="197"/>
    </row>
    <row r="32">
      <c r="A32" s="197" t="str">
        <f>IFERROR(__xludf.DUMMYFUNCTION("""COMPUTED_VALUE"""),"Huong Nguyen Lan")</f>
        <v>Huong Nguyen Lan</v>
      </c>
      <c r="B32" s="409">
        <f>IFERROR(__xludf.DUMMYFUNCTION("""COMPUTED_VALUE"""),45989.45646596065)</f>
        <v>45989.45647</v>
      </c>
      <c r="C32" s="197" t="str">
        <f>IFERROR(__xludf.DUMMYFUNCTION("""COMPUTED_VALUE"""),"VPA.Hieu")</f>
        <v>VPA.Hieu</v>
      </c>
      <c r="D32" s="197" t="str">
        <f>IFERROR(__xludf.DUMMYFUNCTION("""COMPUTED_VALUE"""),"Hoàn thành HS cảnh quan của Hoàng xá và Lộc Tân")</f>
        <v>Hoàn thành HS cảnh quan của Hoàng xá và Lộc Tân</v>
      </c>
      <c r="E32" s="197">
        <f>IFERROR(__xludf.DUMMYFUNCTION("""COMPUTED_VALUE"""),2.0)</f>
        <v>2</v>
      </c>
      <c r="F32" s="197"/>
      <c r="G32" s="197"/>
      <c r="H32" s="197"/>
      <c r="I32" s="197"/>
      <c r="J32" s="197"/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7"/>
      <c r="Y32" s="197"/>
    </row>
    <row r="33">
      <c r="A33" s="197" t="str">
        <f>IFERROR(__xludf.DUMMYFUNCTION("""COMPUTED_VALUE"""),"Huong Nguyen Lan")</f>
        <v>Huong Nguyen Lan</v>
      </c>
      <c r="B33" s="409">
        <f>IFERROR(__xludf.DUMMYFUNCTION("""COMPUTED_VALUE"""),45989.46117724537)</f>
        <v>45989.46118</v>
      </c>
      <c r="C33" s="197" t="str">
        <f>IFERROR(__xludf.DUMMYFUNCTION("""COMPUTED_VALUE"""),"VPA.Duong")</f>
        <v>VPA.Duong</v>
      </c>
      <c r="D33" s="197" t="str">
        <f>IFERROR(__xludf.DUMMYFUNCTION("""COMPUTED_VALUE"""),"Hoàn thành concept Hoàng xá")</f>
        <v>Hoàn thành concept Hoàng xá</v>
      </c>
      <c r="E33" s="197">
        <f>IFERROR(__xludf.DUMMYFUNCTION("""COMPUTED_VALUE"""),1.0)</f>
        <v>1</v>
      </c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</row>
    <row r="34">
      <c r="A34" s="197" t="str">
        <f>IFERROR(__xludf.DUMMYFUNCTION("""COMPUTED_VALUE"""),"Huong Nguyen Lan")</f>
        <v>Huong Nguyen Lan</v>
      </c>
      <c r="B34" s="409">
        <f>IFERROR(__xludf.DUMMYFUNCTION("""COMPUTED_VALUE"""),45989.46225130787)</f>
        <v>45989.46225</v>
      </c>
      <c r="C34" s="197" t="str">
        <f>IFERROR(__xludf.DUMMYFUNCTION("""COMPUTED_VALUE"""),"VPA.Quan")</f>
        <v>VPA.Quan</v>
      </c>
      <c r="D34" s="197" t="str">
        <f>IFERROR(__xludf.DUMMYFUNCTION("""COMPUTED_VALUE"""),"Hoàn thành concept Hoàng xá")</f>
        <v>Hoàn thành concept Hoàng xá</v>
      </c>
      <c r="E34" s="197">
        <f>IFERROR(__xludf.DUMMYFUNCTION("""COMPUTED_VALUE"""),1.0)</f>
        <v>1</v>
      </c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7"/>
      <c r="Y34" s="197"/>
    </row>
    <row r="35">
      <c r="A35" s="197" t="str">
        <f>IFERROR(__xludf.DUMMYFUNCTION("""COMPUTED_VALUE"""),"Tâm Trương Minh")</f>
        <v>Tâm Trương Minh</v>
      </c>
      <c r="B35" s="409">
        <f>IFERROR(__xludf.DUMMYFUNCTION("""COMPUTED_VALUE"""),45995.58286756944)</f>
        <v>45995.58287</v>
      </c>
      <c r="C35" s="197" t="str">
        <f>IFERROR(__xludf.DUMMYFUNCTION("""COMPUTED_VALUE"""),"500.Quyen")</f>
        <v>500.Quyen</v>
      </c>
      <c r="D35" s="197" t="str">
        <f>IFERROR(__xludf.DUMMYFUNCTION("""COMPUTED_VALUE"""),"Hoàn thành dự toán Hạ tầng kỹ thuật của Đào Tấn và Minh Giang")</f>
        <v>Hoàn thành dự toán Hạ tầng kỹ thuật của Đào Tấn và Minh Giang</v>
      </c>
      <c r="E35" s="197">
        <f>IFERROR(__xludf.DUMMYFUNCTION("""COMPUTED_VALUE"""),2.0)</f>
        <v>2</v>
      </c>
      <c r="F35" s="197"/>
      <c r="G35" s="197"/>
      <c r="H35" s="197"/>
      <c r="I35" s="197"/>
      <c r="J35" s="197"/>
      <c r="K35" s="197"/>
      <c r="L35" s="197"/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7"/>
      <c r="Y35" s="197"/>
    </row>
    <row r="36">
      <c r="A36" s="197" t="str">
        <f>IFERROR(__xludf.DUMMYFUNCTION("""COMPUTED_VALUE"""),"Luật Tô Vũ")</f>
        <v>Luật Tô Vũ</v>
      </c>
      <c r="B36" s="409">
        <f>IFERROR(__xludf.DUMMYFUNCTION("""COMPUTED_VALUE"""),46003.82981280093)</f>
        <v>46003.82981</v>
      </c>
      <c r="C36" s="197" t="str">
        <f>IFERROR(__xludf.DUMMYFUNCTION("""COMPUTED_VALUE"""),"200.Duy Anh")</f>
        <v>200.Duy Anh</v>
      </c>
      <c r="D36" s="197" t="str">
        <f>IFERROR(__xludf.DUMMYFUNCTION("""COMPUTED_VALUE"""),"Quên thay pin khóa cửa vân tay.")</f>
        <v>Quên thay pin khóa cửa vân tay.</v>
      </c>
      <c r="E36" s="197">
        <f>IFERROR(__xludf.DUMMYFUNCTION("""COMPUTED_VALUE"""),-1.0)</f>
        <v>-1</v>
      </c>
      <c r="F36" s="197"/>
      <c r="G36" s="197"/>
      <c r="H36" s="197"/>
      <c r="I36" s="197"/>
      <c r="J36" s="197"/>
      <c r="K36" s="197"/>
      <c r="L36" s="197"/>
      <c r="M36" s="197"/>
      <c r="N36" s="197"/>
      <c r="O36" s="197"/>
      <c r="P36" s="197"/>
      <c r="Q36" s="197"/>
      <c r="R36" s="197"/>
      <c r="S36" s="197"/>
      <c r="T36" s="197"/>
      <c r="U36" s="197"/>
      <c r="V36" s="197"/>
      <c r="W36" s="197"/>
      <c r="X36" s="197"/>
      <c r="Y36" s="197"/>
    </row>
    <row r="37">
      <c r="A37" s="197" t="str">
        <f>IFERROR(__xludf.DUMMYFUNCTION("""COMPUTED_VALUE"""),"Luật Tô Vũ")</f>
        <v>Luật Tô Vũ</v>
      </c>
      <c r="B37" s="409">
        <f>IFERROR(__xludf.DUMMYFUNCTION("""COMPUTED_VALUE"""),46003.82981280093)</f>
        <v>46003.82981</v>
      </c>
      <c r="C37" s="197" t="str">
        <f>IFERROR(__xludf.DUMMYFUNCTION("""COMPUTED_VALUE"""),"200.Tien")</f>
        <v>200.Tien</v>
      </c>
      <c r="D37" s="197" t="str">
        <f>IFERROR(__xludf.DUMMYFUNCTION("""COMPUTED_VALUE"""),"Good support KSA event ")</f>
        <v>Good support KSA event </v>
      </c>
      <c r="E37" s="197">
        <f>IFERROR(__xludf.DUMMYFUNCTION("""COMPUTED_VALUE"""),1.0)</f>
        <v>1</v>
      </c>
      <c r="F37" s="197"/>
      <c r="G37" s="197"/>
      <c r="H37" s="197"/>
      <c r="I37" s="197"/>
      <c r="J37" s="197"/>
      <c r="K37" s="197"/>
      <c r="L37" s="197"/>
      <c r="M37" s="197"/>
      <c r="N37" s="197"/>
      <c r="O37" s="197"/>
      <c r="P37" s="197"/>
      <c r="Q37" s="197"/>
      <c r="R37" s="197"/>
      <c r="S37" s="197"/>
      <c r="T37" s="197"/>
      <c r="U37" s="197"/>
      <c r="V37" s="197"/>
      <c r="W37" s="197"/>
      <c r="X37" s="197"/>
      <c r="Y37" s="197"/>
    </row>
    <row r="38">
      <c r="A38" s="197" t="str">
        <f>IFERROR(__xludf.DUMMYFUNCTION("""COMPUTED_VALUE"""),"Luật Tô Vũ")</f>
        <v>Luật Tô Vũ</v>
      </c>
      <c r="B38" s="409">
        <f>IFERROR(__xludf.DUMMYFUNCTION("""COMPUTED_VALUE"""),46007.65505422454)</f>
        <v>46007.65505</v>
      </c>
      <c r="C38" s="197" t="str">
        <f>IFERROR(__xludf.DUMMYFUNCTION("""COMPUTED_VALUE"""),"300.Thuy")</f>
        <v>300.Thuy</v>
      </c>
      <c r="D38" s="197" t="str">
        <f>IFERROR(__xludf.DUMMYFUNCTION("""COMPUTED_VALUE"""),"Excellent result in tax return &amp; tax settlement")</f>
        <v>Excellent result in tax return &amp; tax settlement</v>
      </c>
      <c r="E38" s="197">
        <f>IFERROR(__xludf.DUMMYFUNCTION("""COMPUTED_VALUE"""),3.0)</f>
        <v>3</v>
      </c>
      <c r="F38" s="197"/>
      <c r="G38" s="197"/>
      <c r="H38" s="197"/>
      <c r="I38" s="197"/>
      <c r="J38" s="197"/>
      <c r="K38" s="197"/>
      <c r="L38" s="197"/>
      <c r="M38" s="197"/>
      <c r="N38" s="197"/>
      <c r="O38" s="197"/>
      <c r="P38" s="197"/>
      <c r="Q38" s="197"/>
      <c r="R38" s="197"/>
      <c r="S38" s="197"/>
      <c r="T38" s="197"/>
      <c r="U38" s="197"/>
      <c r="V38" s="197"/>
      <c r="W38" s="197"/>
      <c r="X38" s="197"/>
      <c r="Y38" s="197"/>
    </row>
    <row r="39">
      <c r="A39" s="197" t="str">
        <f>IFERROR(__xludf.DUMMYFUNCTION("""COMPUTED_VALUE"""),"Huong Nguyen Lan")</f>
        <v>Huong Nguyen Lan</v>
      </c>
      <c r="B39" s="409">
        <f>IFERROR(__xludf.DUMMYFUNCTION("""COMPUTED_VALUE"""),46097.643120162036)</f>
        <v>46097.64312</v>
      </c>
      <c r="C39" s="197" t="str">
        <f>IFERROR(__xludf.DUMMYFUNCTION("""COMPUTED_VALUE"""),"VPA.Huyen")</f>
        <v>VPA.Huyen</v>
      </c>
      <c r="D39" s="197" t="str">
        <f>IFERROR(__xludf.DUMMYFUNCTION("""COMPUTED_VALUE"""),"Hoàn thành DA Đào Tấn")</f>
        <v>Hoàn thành DA Đào Tấn</v>
      </c>
      <c r="E39" s="197">
        <f>IFERROR(__xludf.DUMMYFUNCTION("""COMPUTED_VALUE"""),2.0)</f>
        <v>2</v>
      </c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</row>
    <row r="40">
      <c r="A40" s="197" t="str">
        <f>IFERROR(__xludf.DUMMYFUNCTION("""COMPUTED_VALUE"""),"Huong Nguyen Lan")</f>
        <v>Huong Nguyen Lan</v>
      </c>
      <c r="B40" s="409">
        <f>IFERROR(__xludf.DUMMYFUNCTION("""COMPUTED_VALUE"""),46097.674380625)</f>
        <v>46097.67438</v>
      </c>
      <c r="C40" s="197" t="str">
        <f>IFERROR(__xludf.DUMMYFUNCTION("""COMPUTED_VALUE"""),"VPA.Nam")</f>
        <v>VPA.Nam</v>
      </c>
      <c r="D40" s="197" t="str">
        <f>IFERROR(__xludf.DUMMYFUNCTION("""COMPUTED_VALUE"""),"Hoàn thành TKCS DA Trung Liên")</f>
        <v>Hoàn thành TKCS DA Trung Liên</v>
      </c>
      <c r="E40" s="197">
        <f>IFERROR(__xludf.DUMMYFUNCTION("""COMPUTED_VALUE"""),2.0)</f>
        <v>2</v>
      </c>
      <c r="F40" s="197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197"/>
      <c r="Y40" s="197"/>
    </row>
    <row r="41">
      <c r="A41" s="197" t="str">
        <f>IFERROR(__xludf.DUMMYFUNCTION("""COMPUTED_VALUE"""),"Luật Tô Vũ")</f>
        <v>Luật Tô Vũ</v>
      </c>
      <c r="B41" s="409">
        <f>IFERROR(__xludf.DUMMYFUNCTION("""COMPUTED_VALUE"""),46111.40747984954)</f>
        <v>46111.40748</v>
      </c>
      <c r="C41" s="197" t="str">
        <f>IFERROR(__xludf.DUMMYFUNCTION("""COMPUTED_VALUE"""),"200.Duy Anh")</f>
        <v>200.Duy Anh</v>
      </c>
      <c r="D41" s="197" t="str">
        <f>IFERROR(__xludf.DUMMYFUNCTION("""COMPUTED_VALUE"""),"Thu Hồi Thành Công Tiền Tạm Ứng Án Phí Tòa Hải Dương")</f>
        <v>Thu Hồi Thành Công Tiền Tạm Ứng Án Phí Tòa Hải Dương</v>
      </c>
      <c r="E41" s="197">
        <f>IFERROR(__xludf.DUMMYFUNCTION("""COMPUTED_VALUE"""),1.0)</f>
        <v>1</v>
      </c>
      <c r="F41" s="197"/>
      <c r="G41" s="197"/>
      <c r="H41" s="197"/>
      <c r="I41" s="197"/>
      <c r="J41" s="197"/>
      <c r="K41" s="197"/>
      <c r="L41" s="197"/>
      <c r="M41" s="197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197"/>
      <c r="Y41" s="197"/>
    </row>
    <row r="42">
      <c r="A42" s="197" t="str">
        <f>IFERROR(__xludf.DUMMYFUNCTION("""COMPUTED_VALUE"""),"Luật Tô Vũ")</f>
        <v>Luật Tô Vũ</v>
      </c>
      <c r="B42" s="412">
        <f>IFERROR(__xludf.DUMMYFUNCTION("""COMPUTED_VALUE"""),46111.407967858795)</f>
        <v>46111.40797</v>
      </c>
      <c r="C42" s="197" t="str">
        <f>IFERROR(__xludf.DUMMYFUNCTION("""COMPUTED_VALUE"""),"200.Tien")</f>
        <v>200.Tien</v>
      </c>
      <c r="D42" s="197" t="str">
        <f>IFERROR(__xludf.DUMMYFUNCTION("""COMPUTED_VALUE"""),"Hoàn thiện tốt biển tên các công ty khách hàng.")</f>
        <v>Hoàn thiện tốt biển tên các công ty khách hàng.</v>
      </c>
      <c r="E42" s="197">
        <f>IFERROR(__xludf.DUMMYFUNCTION("""COMPUTED_VALUE"""),1.0)</f>
        <v>1</v>
      </c>
      <c r="F42" s="197"/>
      <c r="G42" s="197"/>
      <c r="H42" s="197"/>
      <c r="I42" s="197"/>
      <c r="J42" s="197"/>
      <c r="K42" s="197"/>
      <c r="L42" s="197"/>
      <c r="M42" s="197"/>
      <c r="N42" s="197"/>
      <c r="O42" s="197"/>
      <c r="P42" s="197"/>
      <c r="Q42" s="197"/>
      <c r="R42" s="197"/>
      <c r="S42" s="197"/>
      <c r="T42" s="197"/>
      <c r="U42" s="197"/>
      <c r="V42" s="197"/>
      <c r="W42" s="197"/>
      <c r="X42" s="197"/>
      <c r="Y42" s="197"/>
    </row>
    <row r="43">
      <c r="A43" s="197" t="str">
        <f>IFERROR(__xludf.DUMMYFUNCTION("""COMPUTED_VALUE"""),"Luật Tô Vũ")</f>
        <v>Luật Tô Vũ</v>
      </c>
      <c r="B43" s="409">
        <f>IFERROR(__xludf.DUMMYFUNCTION("""COMPUTED_VALUE"""),46121.4738377662)</f>
        <v>46121.47384</v>
      </c>
      <c r="C43" s="197" t="str">
        <f>IFERROR(__xludf.DUMMYFUNCTION("""COMPUTED_VALUE"""),"200.Duy Anh")</f>
        <v>200.Duy Anh</v>
      </c>
      <c r="D43" s="197" t="str">
        <f>IFERROR(__xludf.DUMMYFUNCTION("""COMPUTED_VALUE"""),"Well prepare legal document for FLC debt recovering")</f>
        <v>Well prepare legal document for FLC debt recovering</v>
      </c>
      <c r="E43" s="197">
        <f>IFERROR(__xludf.DUMMYFUNCTION("""COMPUTED_VALUE"""),2.0)</f>
        <v>2</v>
      </c>
      <c r="F43" s="197"/>
      <c r="G43" s="197"/>
      <c r="H43" s="197"/>
      <c r="I43" s="197"/>
      <c r="J43" s="197"/>
      <c r="K43" s="197"/>
      <c r="L43" s="197"/>
      <c r="M43" s="197"/>
      <c r="N43" s="197"/>
      <c r="O43" s="197"/>
      <c r="P43" s="197"/>
      <c r="Q43" s="197"/>
      <c r="R43" s="197"/>
      <c r="S43" s="197"/>
      <c r="T43" s="197"/>
      <c r="U43" s="197"/>
      <c r="V43" s="197"/>
      <c r="W43" s="197"/>
      <c r="X43" s="197"/>
      <c r="Y43" s="197"/>
    </row>
    <row r="44">
      <c r="A44" s="197" t="str">
        <f>IFERROR(__xludf.DUMMYFUNCTION("""COMPUTED_VALUE"""),"Luật Tô Vũ")</f>
        <v>Luật Tô Vũ</v>
      </c>
      <c r="B44" s="409">
        <f>IFERROR(__xludf.DUMMYFUNCTION("""COMPUTED_VALUE"""),46146.568840625)</f>
        <v>46146.56884</v>
      </c>
      <c r="C44" s="197" t="str">
        <f>IFERROR(__xludf.DUMMYFUNCTION("""COMPUTED_VALUE"""),"200.Tien")</f>
        <v>200.Tien</v>
      </c>
      <c r="D44" s="197" t="str">
        <f>IFERROR(__xludf.DUMMYFUNCTION("""COMPUTED_VALUE"""),"Hoàn thành tốt việc đổi SIM cho Boss sáng Viettel")</f>
        <v>Hoàn thành tốt việc đổi SIM cho Boss sáng Viettel</v>
      </c>
      <c r="E44" s="197">
        <f>IFERROR(__xludf.DUMMYFUNCTION("""COMPUTED_VALUE"""),1.0)</f>
        <v>1</v>
      </c>
      <c r="F44" s="197"/>
      <c r="G44" s="197"/>
      <c r="H44" s="197"/>
      <c r="I44" s="197"/>
      <c r="J44" s="197"/>
      <c r="K44" s="197"/>
      <c r="L44" s="197"/>
      <c r="M44" s="197"/>
      <c r="N44" s="197"/>
      <c r="O44" s="197"/>
      <c r="P44" s="197"/>
      <c r="Q44" s="197"/>
      <c r="R44" s="197"/>
      <c r="S44" s="197"/>
      <c r="T44" s="197"/>
      <c r="U44" s="197"/>
      <c r="V44" s="197"/>
      <c r="W44" s="197"/>
      <c r="X44" s="197"/>
      <c r="Y44" s="197"/>
    </row>
    <row r="45">
      <c r="A45" s="197" t="str">
        <f>IFERROR(__xludf.DUMMYFUNCTION("""COMPUTED_VALUE"""),"Tâm Trương Minh")</f>
        <v>Tâm Trương Minh</v>
      </c>
      <c r="B45" s="409">
        <f>IFERROR(__xludf.DUMMYFUNCTION("""COMPUTED_VALUE"""),46146.61935841435)</f>
        <v>46146.61936</v>
      </c>
      <c r="C45" s="197" t="str">
        <f>IFERROR(__xludf.DUMMYFUNCTION("""COMPUTED_VALUE"""),"500.Quyen")</f>
        <v>500.Quyen</v>
      </c>
      <c r="D45" s="197" t="str">
        <f>IFERROR(__xludf.DUMMYFUNCTION("""COMPUTED_VALUE"""),"Hoàn thành dự toán bản vẽ thi công Trung Liên lần 1")</f>
        <v>Hoàn thành dự toán bản vẽ thi công Trung Liên lần 1</v>
      </c>
      <c r="E45" s="197">
        <f>IFERROR(__xludf.DUMMYFUNCTION("""COMPUTED_VALUE"""),3.0)</f>
        <v>3</v>
      </c>
      <c r="F45" s="197"/>
      <c r="G45" s="197"/>
      <c r="H45" s="197"/>
      <c r="I45" s="197"/>
      <c r="J45" s="197"/>
      <c r="K45" s="197"/>
      <c r="L45" s="197"/>
      <c r="M45" s="197"/>
      <c r="N45" s="197"/>
      <c r="O45" s="197"/>
      <c r="P45" s="197"/>
      <c r="Q45" s="197"/>
      <c r="R45" s="197"/>
      <c r="S45" s="197"/>
      <c r="T45" s="197"/>
      <c r="U45" s="197"/>
      <c r="V45" s="197"/>
      <c r="W45" s="197"/>
      <c r="X45" s="197"/>
      <c r="Y45" s="197"/>
    </row>
    <row r="46">
      <c r="A46" s="197" t="str">
        <f>IFERROR(__xludf.DUMMYFUNCTION("""COMPUTED_VALUE"""),"Tâm Trương Minh")</f>
        <v>Tâm Trương Minh</v>
      </c>
      <c r="B46" s="409">
        <f>IFERROR(__xludf.DUMMYFUNCTION("""COMPUTED_VALUE"""),46146.62000097222)</f>
        <v>46146.62</v>
      </c>
      <c r="C46" s="197" t="str">
        <f>IFERROR(__xludf.DUMMYFUNCTION("""COMPUTED_VALUE"""),"500.Quyen")</f>
        <v>500.Quyen</v>
      </c>
      <c r="D46" s="197" t="str">
        <f>IFERROR(__xludf.DUMMYFUNCTION("""COMPUTED_VALUE"""),"Hoàn thành dự toán bản vẽ thi công nhà ở  New Land Đào Tấn")</f>
        <v>Hoàn thành dự toán bản vẽ thi công nhà ở  New Land Đào Tấn</v>
      </c>
      <c r="E46" s="197">
        <f>IFERROR(__xludf.DUMMYFUNCTION("""COMPUTED_VALUE"""),3.0)</f>
        <v>3</v>
      </c>
      <c r="F46" s="197"/>
      <c r="G46" s="197"/>
      <c r="H46" s="197"/>
      <c r="I46" s="197"/>
      <c r="J46" s="197"/>
      <c r="K46" s="197"/>
      <c r="L46" s="197"/>
      <c r="M46" s="197"/>
      <c r="N46" s="197"/>
      <c r="O46" s="197"/>
      <c r="P46" s="197"/>
      <c r="Q46" s="197"/>
      <c r="R46" s="197"/>
      <c r="S46" s="197"/>
      <c r="T46" s="197"/>
      <c r="U46" s="197"/>
      <c r="V46" s="197"/>
      <c r="W46" s="197"/>
      <c r="X46" s="197"/>
      <c r="Y46" s="197"/>
    </row>
    <row r="47">
      <c r="A47" s="197" t="str">
        <f>IFERROR(__xludf.DUMMYFUNCTION("""COMPUTED_VALUE"""),"Luật Tô Vũ")</f>
        <v>Luật Tô Vũ</v>
      </c>
      <c r="B47" s="409">
        <f>IFERROR(__xludf.DUMMYFUNCTION("""COMPUTED_VALUE"""),46186.542488796294)</f>
        <v>46186.54249</v>
      </c>
      <c r="C47" s="197" t="str">
        <f>IFERROR(__xludf.DUMMYFUNCTION("""COMPUTED_VALUE"""),"200.Duy Anh")</f>
        <v>200.Duy Anh</v>
      </c>
      <c r="D47" s="197" t="str">
        <f>IFERROR(__xludf.DUMMYFUNCTION("""COMPUTED_VALUE"""),"Well preparing MT")</f>
        <v>Well preparing MT</v>
      </c>
      <c r="E47" s="197">
        <f>IFERROR(__xludf.DUMMYFUNCTION("""COMPUTED_VALUE"""),2.0)</f>
        <v>2</v>
      </c>
      <c r="F47" s="197"/>
      <c r="G47" s="197"/>
      <c r="H47" s="197"/>
      <c r="I47" s="197"/>
      <c r="J47" s="197"/>
      <c r="K47" s="197"/>
      <c r="L47" s="197"/>
      <c r="M47" s="197"/>
      <c r="N47" s="197"/>
      <c r="O47" s="197"/>
      <c r="P47" s="197"/>
      <c r="Q47" s="197"/>
      <c r="R47" s="197"/>
      <c r="S47" s="197"/>
      <c r="T47" s="197"/>
      <c r="U47" s="197"/>
      <c r="V47" s="197"/>
      <c r="W47" s="197"/>
      <c r="X47" s="197"/>
      <c r="Y47" s="197"/>
    </row>
    <row r="48">
      <c r="A48" s="197" t="str">
        <f>IFERROR(__xludf.DUMMYFUNCTION("""COMPUTED_VALUE"""),"Luật Tô Vũ")</f>
        <v>Luật Tô Vũ</v>
      </c>
      <c r="B48" s="409">
        <f>IFERROR(__xludf.DUMMYFUNCTION("""COMPUTED_VALUE"""),46186.542488796294)</f>
        <v>46186.54249</v>
      </c>
      <c r="C48" s="197" t="str">
        <f>IFERROR(__xludf.DUMMYFUNCTION("""COMPUTED_VALUE"""),"200.Tien")</f>
        <v>200.Tien</v>
      </c>
      <c r="D48" s="197" t="str">
        <f>IFERROR(__xludf.DUMMYFUNCTION("""COMPUTED_VALUE"""),"Well preparing MT")</f>
        <v>Well preparing MT</v>
      </c>
      <c r="E48" s="197">
        <f>IFERROR(__xludf.DUMMYFUNCTION("""COMPUTED_VALUE"""),2.0)</f>
        <v>2</v>
      </c>
      <c r="F48" s="197"/>
      <c r="G48" s="197"/>
      <c r="H48" s="197"/>
      <c r="I48" s="197"/>
      <c r="J48" s="197"/>
      <c r="K48" s="197"/>
      <c r="L48" s="197"/>
      <c r="M48" s="197"/>
      <c r="N48" s="197"/>
      <c r="O48" s="197"/>
      <c r="P48" s="197"/>
      <c r="Q48" s="197"/>
      <c r="R48" s="197"/>
      <c r="S48" s="197"/>
      <c r="T48" s="197"/>
      <c r="U48" s="197"/>
      <c r="V48" s="197"/>
      <c r="W48" s="197"/>
      <c r="X48" s="197"/>
      <c r="Y48" s="197"/>
    </row>
    <row r="49">
      <c r="A49" s="197" t="str">
        <f>IFERROR(__xludf.DUMMYFUNCTION("""COMPUTED_VALUE"""),"Luật Tô Vũ")</f>
        <v>Luật Tô Vũ</v>
      </c>
      <c r="B49" s="409">
        <f>IFERROR(__xludf.DUMMYFUNCTION("""COMPUTED_VALUE"""),46188.398767824074)</f>
        <v>46188.39877</v>
      </c>
      <c r="C49" s="197" t="str">
        <f>IFERROR(__xludf.DUMMYFUNCTION("""COMPUTED_VALUE"""),"VPA.Trang")</f>
        <v>VPA.Trang</v>
      </c>
      <c r="D49" s="197" t="str">
        <f>IFERROR(__xludf.DUMMYFUNCTION("""COMPUTED_VALUE"""),"MT Ninh Binh Winner Team")</f>
        <v>MT Ninh Binh Winner Team</v>
      </c>
      <c r="E49" s="197">
        <f>IFERROR(__xludf.DUMMYFUNCTION("""COMPUTED_VALUE"""),1.0)</f>
        <v>1</v>
      </c>
      <c r="F49" s="197"/>
      <c r="G49" s="197"/>
      <c r="H49" s="197"/>
      <c r="I49" s="197"/>
      <c r="J49" s="197"/>
      <c r="K49" s="197"/>
      <c r="L49" s="197"/>
      <c r="M49" s="197"/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7"/>
      <c r="Y49" s="197"/>
    </row>
    <row r="50">
      <c r="A50" s="197" t="str">
        <f>IFERROR(__xludf.DUMMYFUNCTION("""COMPUTED_VALUE"""),"Luật Tô Vũ")</f>
        <v>Luật Tô Vũ</v>
      </c>
      <c r="B50" s="409">
        <f>IFERROR(__xludf.DUMMYFUNCTION("""COMPUTED_VALUE"""),46188.398767824074)</f>
        <v>46188.39877</v>
      </c>
      <c r="C50" s="200" t="str">
        <f>IFERROR(__xludf.DUMMYFUNCTION("""COMPUTED_VALUE"""),"VPA.Vu")</f>
        <v>VPA.Vu</v>
      </c>
      <c r="D50" s="197" t="str">
        <f>IFERROR(__xludf.DUMMYFUNCTION("""COMPUTED_VALUE"""),"MT Ninh Binh Winner Team")</f>
        <v>MT Ninh Binh Winner Team</v>
      </c>
      <c r="E50" s="197">
        <f>IFERROR(__xludf.DUMMYFUNCTION("""COMPUTED_VALUE"""),1.0)</f>
        <v>1</v>
      </c>
      <c r="F50" s="197"/>
      <c r="G50" s="197"/>
      <c r="H50" s="197"/>
      <c r="I50" s="197"/>
      <c r="J50" s="197"/>
      <c r="K50" s="197"/>
      <c r="L50" s="197"/>
      <c r="M50" s="197"/>
      <c r="N50" s="197"/>
      <c r="O50" s="197"/>
      <c r="P50" s="197"/>
      <c r="Q50" s="197"/>
      <c r="R50" s="197"/>
      <c r="S50" s="197"/>
      <c r="T50" s="197"/>
      <c r="U50" s="197"/>
      <c r="V50" s="197"/>
      <c r="W50" s="197"/>
      <c r="X50" s="197"/>
      <c r="Y50" s="197"/>
    </row>
    <row r="51">
      <c r="A51" s="197" t="str">
        <f>IFERROR(__xludf.DUMMYFUNCTION("""COMPUTED_VALUE"""),"Luật Tô Vũ")</f>
        <v>Luật Tô Vũ</v>
      </c>
      <c r="B51" s="409">
        <f>IFERROR(__xludf.DUMMYFUNCTION("""COMPUTED_VALUE"""),46188.398767824074)</f>
        <v>46188.39877</v>
      </c>
      <c r="C51" s="197" t="str">
        <f>IFERROR(__xludf.DUMMYFUNCTION("""COMPUTED_VALUE"""),"500.Thao")</f>
        <v>500.Thao</v>
      </c>
      <c r="D51" s="197" t="str">
        <f>IFERROR(__xludf.DUMMYFUNCTION("""COMPUTED_VALUE"""),"MT Ninh Binh Winner Team")</f>
        <v>MT Ninh Binh Winner Team</v>
      </c>
      <c r="E51" s="197">
        <f>IFERROR(__xludf.DUMMYFUNCTION("""COMPUTED_VALUE"""),1.0)</f>
        <v>1</v>
      </c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197"/>
      <c r="R51" s="197"/>
      <c r="S51" s="197"/>
      <c r="T51" s="197"/>
      <c r="U51" s="197"/>
      <c r="V51" s="197"/>
      <c r="W51" s="197"/>
      <c r="X51" s="197"/>
      <c r="Y51" s="197"/>
    </row>
    <row r="52">
      <c r="A52" s="197" t="str">
        <f>IFERROR(__xludf.DUMMYFUNCTION("""COMPUTED_VALUE"""),"Luật Tô Vũ")</f>
        <v>Luật Tô Vũ</v>
      </c>
      <c r="B52" s="409">
        <f>IFERROR(__xludf.DUMMYFUNCTION("""COMPUTED_VALUE"""),46188.398767824074)</f>
        <v>46188.39877</v>
      </c>
      <c r="C52" s="197" t="str">
        <f>IFERROR(__xludf.DUMMYFUNCTION("""COMPUTED_VALUE"""),"300.Thuy")</f>
        <v>300.Thuy</v>
      </c>
      <c r="D52" s="197" t="str">
        <f>IFERROR(__xludf.DUMMYFUNCTION("""COMPUTED_VALUE"""),"MT Ninh Binh Winner Team")</f>
        <v>MT Ninh Binh Winner Team</v>
      </c>
      <c r="E52" s="197">
        <f>IFERROR(__xludf.DUMMYFUNCTION("""COMPUTED_VALUE"""),1.0)</f>
        <v>1</v>
      </c>
      <c r="F52" s="197"/>
      <c r="G52" s="197"/>
      <c r="H52" s="197"/>
      <c r="I52" s="197"/>
      <c r="J52" s="197"/>
      <c r="K52" s="197"/>
      <c r="L52" s="197"/>
      <c r="M52" s="197"/>
      <c r="N52" s="197"/>
      <c r="O52" s="197"/>
      <c r="P52" s="197"/>
      <c r="Q52" s="197"/>
      <c r="R52" s="197"/>
      <c r="S52" s="197"/>
      <c r="T52" s="197"/>
      <c r="U52" s="197"/>
      <c r="V52" s="197"/>
      <c r="W52" s="197"/>
      <c r="X52" s="197"/>
      <c r="Y52" s="197"/>
    </row>
    <row r="53">
      <c r="A53" s="197" t="str">
        <f>IFERROR(__xludf.DUMMYFUNCTION("""COMPUTED_VALUE"""),"Luật Tô Vũ")</f>
        <v>Luật Tô Vũ</v>
      </c>
      <c r="B53" s="409">
        <f>IFERROR(__xludf.DUMMYFUNCTION("""COMPUTED_VALUE"""),46188.398767824074)</f>
        <v>46188.39877</v>
      </c>
      <c r="C53" s="197" t="str">
        <f>IFERROR(__xludf.DUMMYFUNCTION("""COMPUTED_VALUE"""),"300.Trang")</f>
        <v>300.Trang</v>
      </c>
      <c r="D53" s="197" t="str">
        <f>IFERROR(__xludf.DUMMYFUNCTION("""COMPUTED_VALUE"""),"MT Ninh Binh Winner Team")</f>
        <v>MT Ninh Binh Winner Team</v>
      </c>
      <c r="E53" s="197">
        <f>IFERROR(__xludf.DUMMYFUNCTION("""COMPUTED_VALUE"""),1.0)</f>
        <v>1</v>
      </c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197"/>
      <c r="R53" s="197"/>
      <c r="S53" s="197"/>
      <c r="T53" s="197"/>
      <c r="U53" s="197"/>
      <c r="V53" s="197"/>
      <c r="W53" s="197"/>
      <c r="X53" s="197"/>
      <c r="Y53" s="197"/>
    </row>
    <row r="54">
      <c r="A54" s="197" t="str">
        <f>IFERROR(__xludf.DUMMYFUNCTION("""COMPUTED_VALUE"""),"손민창 (Son, MinChang)")</f>
        <v>손민창 (Son, MinChang)</v>
      </c>
      <c r="B54" s="413">
        <f>IFERROR(__xludf.DUMMYFUNCTION("""COMPUTED_VALUE"""),46190.0)</f>
        <v>46190</v>
      </c>
      <c r="C54" s="197" t="str">
        <f>IFERROR(__xludf.DUMMYFUNCTION("""COMPUTED_VALUE"""),"000.Luat")</f>
        <v>000.Luat</v>
      </c>
      <c r="D54" s="197" t="str">
        <f>IFERROR(__xludf.DUMMYFUNCTION("""COMPUTED_VALUE"""),"앱개발")</f>
        <v>앱개발</v>
      </c>
      <c r="E54" s="197">
        <f>IFERROR(__xludf.DUMMYFUNCTION("""COMPUTED_VALUE"""),1.0)</f>
        <v>1</v>
      </c>
      <c r="F54" s="197"/>
      <c r="G54" s="197"/>
      <c r="H54" s="197"/>
      <c r="I54" s="197"/>
      <c r="J54" s="197"/>
      <c r="K54" s="197"/>
      <c r="L54" s="197"/>
      <c r="M54" s="197"/>
      <c r="N54" s="197"/>
      <c r="O54" s="197"/>
      <c r="P54" s="197"/>
      <c r="Q54" s="197"/>
      <c r="R54" s="197"/>
      <c r="S54" s="197"/>
      <c r="T54" s="197"/>
      <c r="U54" s="197"/>
      <c r="V54" s="197"/>
      <c r="W54" s="197"/>
      <c r="X54" s="197"/>
      <c r="Y54" s="197"/>
    </row>
    <row r="55">
      <c r="A55" s="197" t="str">
        <f>IFERROR(__xludf.DUMMYFUNCTION("""COMPUTED_VALUE"""),"Luật Tô Vũ")</f>
        <v>Luật Tô Vũ</v>
      </c>
      <c r="B55" s="409">
        <f>IFERROR(__xludf.DUMMYFUNCTION("""COMPUTED_VALUE"""),46191.39877314815)</f>
        <v>46191.39877</v>
      </c>
      <c r="C55" s="197" t="str">
        <f>IFERROR(__xludf.DUMMYFUNCTION("""COMPUTED_VALUE"""),"200.Duy Anh")</f>
        <v>200.Duy Anh</v>
      </c>
      <c r="D55" s="197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E55" s="197">
        <f>IFERROR(__xludf.DUMMYFUNCTION("""COMPUTED_VALUE"""),-2.0)</f>
        <v>-2</v>
      </c>
      <c r="F55" s="197"/>
      <c r="G55" s="197"/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</row>
    <row r="56">
      <c r="A56" s="197" t="str">
        <f>IFERROR(__xludf.DUMMYFUNCTION("""COMPUTED_VALUE"""),"Luật Tô Vũ")</f>
        <v>Luật Tô Vũ</v>
      </c>
      <c r="B56" s="409">
        <f>IFERROR(__xludf.DUMMYFUNCTION("""COMPUTED_VALUE"""),46191.39877314815)</f>
        <v>46191.39877</v>
      </c>
      <c r="C56" s="197" t="str">
        <f>IFERROR(__xludf.DUMMYFUNCTION("""COMPUTED_VALUE"""),"200.Tien")</f>
        <v>200.Tien</v>
      </c>
      <c r="D56" s="197" t="str">
        <f>IFERROR(__xludf.DUMMYFUNCTION("""COMPUTED_VALUE"""),"Nói chuyện riêng gây ảnh hưởng đến bộ phận khác trong giờ làm việc.")</f>
        <v>Nói chuyện riêng gây ảnh hưởng đến bộ phận khác trong giờ làm việc.</v>
      </c>
      <c r="E56" s="197">
        <f>IFERROR(__xludf.DUMMYFUNCTION("""COMPUTED_VALUE"""),-2.0)</f>
        <v>-2</v>
      </c>
      <c r="F56" s="197"/>
      <c r="G56" s="197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</row>
    <row r="57">
      <c r="A57" s="197" t="str">
        <f>IFERROR(__xludf.DUMMYFUNCTION("""COMPUTED_VALUE"""),"Luật Tô Vũ")</f>
        <v>Luật Tô Vũ</v>
      </c>
      <c r="B57" s="409">
        <f>IFERROR(__xludf.DUMMYFUNCTION("""COMPUTED_VALUE"""),46191.39877314815)</f>
        <v>46191.39877</v>
      </c>
      <c r="C57" s="197" t="str">
        <f>IFERROR(__xludf.DUMMYFUNCTION("""COMPUTED_VALUE"""),"VPA.Thanh")</f>
        <v>VPA.Thanh</v>
      </c>
      <c r="D57" s="197" t="str">
        <f>IFERROR(__xludf.DUMMYFUNCTION("""COMPUTED_VALUE"""),"tham gia hóng chuyện")</f>
        <v>tham gia hóng chuyện</v>
      </c>
      <c r="E57" s="197">
        <f>IFERROR(__xludf.DUMMYFUNCTION("""COMPUTED_VALUE"""),-1.0)</f>
        <v>-1</v>
      </c>
      <c r="F57" s="197"/>
      <c r="G57" s="197"/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</row>
    <row r="58">
      <c r="A58" s="197" t="str">
        <f>IFERROR(__xludf.DUMMYFUNCTION("""COMPUTED_VALUE"""),"Trang Nguyen Thu")</f>
        <v>Trang Nguyen Thu</v>
      </c>
      <c r="B58" s="413">
        <f>IFERROR(__xludf.DUMMYFUNCTION("""COMPUTED_VALUE"""),46192.0)</f>
        <v>46192</v>
      </c>
      <c r="C58" s="197" t="str">
        <f>IFERROR(__xludf.DUMMYFUNCTION("""COMPUTED_VALUE"""),"VPA.Duong")</f>
        <v>VPA.Duong</v>
      </c>
      <c r="D58" s="197" t="str">
        <f>IFERROR(__xludf.DUMMYFUNCTION("""COMPUTED_VALUE"""),"Hoàn thành bài dự thi thiết kế Cục Hải trong thời gian ngắn")</f>
        <v>Hoàn thành bài dự thi thiết kế Cục Hải trong thời gian ngắn</v>
      </c>
      <c r="E58" s="197">
        <f>IFERROR(__xludf.DUMMYFUNCTION("""COMPUTED_VALUE"""),1.0)</f>
        <v>1</v>
      </c>
      <c r="F58" s="197"/>
      <c r="G58" s="197"/>
      <c r="H58" s="197"/>
      <c r="I58" s="197"/>
      <c r="J58" s="197"/>
      <c r="K58" s="197"/>
      <c r="L58" s="197"/>
      <c r="M58" s="197"/>
      <c r="N58" s="197"/>
      <c r="O58" s="197"/>
      <c r="P58" s="197"/>
      <c r="Q58" s="197"/>
      <c r="R58" s="197"/>
      <c r="S58" s="197"/>
      <c r="T58" s="197"/>
      <c r="U58" s="197"/>
      <c r="V58" s="197"/>
      <c r="W58" s="197"/>
      <c r="X58" s="197"/>
      <c r="Y58" s="197"/>
    </row>
    <row r="59">
      <c r="A59" s="197" t="str">
        <f>IFERROR(__xludf.DUMMYFUNCTION("""COMPUTED_VALUE"""),"Trang Nguyen Thu")</f>
        <v>Trang Nguyen Thu</v>
      </c>
      <c r="B59" s="413">
        <f>IFERROR(__xludf.DUMMYFUNCTION("""COMPUTED_VALUE"""),46192.0)</f>
        <v>46192</v>
      </c>
      <c r="C59" s="197" t="str">
        <f>IFERROR(__xludf.DUMMYFUNCTION("""COMPUTED_VALUE"""),"VPA.Quan")</f>
        <v>VPA.Quan</v>
      </c>
      <c r="D59" s="197" t="str">
        <f>IFERROR(__xludf.DUMMYFUNCTION("""COMPUTED_VALUE"""),"Hoàn thành bài dự thi thiết kế Cục Hải trong thời gian ngắn")</f>
        <v>Hoàn thành bài dự thi thiết kế Cục Hải trong thời gian ngắn</v>
      </c>
      <c r="E59" s="197">
        <f>IFERROR(__xludf.DUMMYFUNCTION("""COMPUTED_VALUE"""),1.0)</f>
        <v>1</v>
      </c>
      <c r="F59" s="197"/>
      <c r="G59" s="197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</row>
    <row r="60">
      <c r="A60" s="197" t="str">
        <f>IFERROR(__xludf.DUMMYFUNCTION("""COMPUTED_VALUE"""),"Trang Nguyen Thu")</f>
        <v>Trang Nguyen Thu</v>
      </c>
      <c r="B60" s="413">
        <f>IFERROR(__xludf.DUMMYFUNCTION("""COMPUTED_VALUE"""),46192.0)</f>
        <v>46192</v>
      </c>
      <c r="C60" s="197" t="str">
        <f>IFERROR(__xludf.DUMMYFUNCTION("""COMPUTED_VALUE"""),"VPA.Thanh")</f>
        <v>VPA.Thanh</v>
      </c>
      <c r="D60" s="197" t="str">
        <f>IFERROR(__xludf.DUMMYFUNCTION("""COMPUTED_VALUE"""),"Hoàn thành bài dự thi thiết kế Cục Hải trong thời gian ngắn")</f>
        <v>Hoàn thành bài dự thi thiết kế Cục Hải trong thời gian ngắn</v>
      </c>
      <c r="E60" s="197">
        <f>IFERROR(__xludf.DUMMYFUNCTION("""COMPUTED_VALUE"""),1.0)</f>
        <v>1</v>
      </c>
      <c r="F60" s="197"/>
      <c r="G60" s="197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</row>
    <row r="61">
      <c r="A61" s="197" t="str">
        <f>IFERROR(__xludf.DUMMYFUNCTION("""COMPUTED_VALUE"""),"Trang Nguyen Thu")</f>
        <v>Trang Nguyen Thu</v>
      </c>
      <c r="B61" s="413">
        <f>IFERROR(__xludf.DUMMYFUNCTION("""COMPUTED_VALUE"""),46192.0)</f>
        <v>46192</v>
      </c>
      <c r="C61" s="197" t="str">
        <f>IFERROR(__xludf.DUMMYFUNCTION("""COMPUTED_VALUE"""),"VPA.Huyen")</f>
        <v>VPA.Huyen</v>
      </c>
      <c r="D61" s="197" t="str">
        <f>IFERROR(__xludf.DUMMYFUNCTION("""COMPUTED_VALUE"""),"Hoàn thành bài dự thi thiết kế Cục Hải trong thời gian ngắn")</f>
        <v>Hoàn thành bài dự thi thiết kế Cục Hải trong thời gian ngắn</v>
      </c>
      <c r="E61" s="197">
        <f>IFERROR(__xludf.DUMMYFUNCTION("""COMPUTED_VALUE"""),1.0)</f>
        <v>1</v>
      </c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</row>
    <row r="62">
      <c r="A62" s="197" t="str">
        <f>IFERROR(__xludf.DUMMYFUNCTION("""COMPUTED_VALUE"""),"Trang Nguyen Thu")</f>
        <v>Trang Nguyen Thu</v>
      </c>
      <c r="B62" s="413">
        <f>IFERROR(__xludf.DUMMYFUNCTION("""COMPUTED_VALUE"""),46192.670530358795)</f>
        <v>46192.67053</v>
      </c>
      <c r="C62" s="197" t="str">
        <f>IFERROR(__xludf.DUMMYFUNCTION("""COMPUTED_VALUE"""),"VPA.Duong")</f>
        <v>VPA.Duong</v>
      </c>
      <c r="D62" s="197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E62" s="197">
        <f>IFERROR(__xludf.DUMMYFUNCTION("""COMPUTED_VALUE"""),-2.0)</f>
        <v>-2</v>
      </c>
      <c r="F62" s="197"/>
      <c r="G62" s="197"/>
      <c r="H62" s="197"/>
      <c r="I62" s="197"/>
      <c r="J62" s="197"/>
      <c r="K62" s="197"/>
      <c r="L62" s="197"/>
      <c r="M62" s="197"/>
      <c r="N62" s="197"/>
      <c r="O62" s="197"/>
      <c r="P62" s="197"/>
      <c r="Q62" s="197"/>
      <c r="R62" s="197"/>
      <c r="S62" s="197"/>
      <c r="T62" s="197"/>
      <c r="U62" s="197"/>
      <c r="V62" s="197"/>
      <c r="W62" s="197"/>
      <c r="X62" s="197"/>
      <c r="Y62" s="197"/>
    </row>
    <row r="63">
      <c r="A63" s="197" t="str">
        <f>IFERROR(__xludf.DUMMYFUNCTION("""COMPUTED_VALUE"""),"Trang Nguyen Thu")</f>
        <v>Trang Nguyen Thu</v>
      </c>
      <c r="B63" s="413">
        <f>IFERROR(__xludf.DUMMYFUNCTION("""COMPUTED_VALUE"""),46192.67159716436)</f>
        <v>46192.6716</v>
      </c>
      <c r="C63" s="197" t="str">
        <f>IFERROR(__xludf.DUMMYFUNCTION("""COMPUTED_VALUE"""),"VPA.Quan")</f>
        <v>VPA.Quan</v>
      </c>
      <c r="D63" s="197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E63" s="197">
        <f>IFERROR(__xludf.DUMMYFUNCTION("""COMPUTED_VALUE"""),-1.0)</f>
        <v>-1</v>
      </c>
      <c r="F63" s="197"/>
      <c r="G63" s="197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</row>
    <row r="64">
      <c r="A64" s="197" t="str">
        <f>IFERROR(__xludf.DUMMYFUNCTION("""COMPUTED_VALUE"""),"Trang Nguyen Thu")</f>
        <v>Trang Nguyen Thu</v>
      </c>
      <c r="B64" s="413">
        <f>IFERROR(__xludf.DUMMYFUNCTION("""COMPUTED_VALUE"""),46192.67159716436)</f>
        <v>46192.6716</v>
      </c>
      <c r="C64" s="197" t="str">
        <f>IFERROR(__xludf.DUMMYFUNCTION("""COMPUTED_VALUE"""),"VPA.Thanh")</f>
        <v>VPA.Thanh</v>
      </c>
      <c r="D64" s="197" t="str">
        <f>IFERROR(__xludf.DUMMYFUNCTION("""COMPUTED_VALUE"""),"Không nộp bài concept BT23 - dự án FLC đúng thời hạn mà không thông báo lý do")</f>
        <v>Không nộp bài concept BT23 - dự án FLC đúng thời hạn mà không thông báo lý do</v>
      </c>
      <c r="E64" s="197">
        <f>IFERROR(__xludf.DUMMYFUNCTION("""COMPUTED_VALUE"""),-1.0)</f>
        <v>-1</v>
      </c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</row>
    <row r="65">
      <c r="A65" s="197" t="str">
        <f>IFERROR(__xludf.DUMMYFUNCTION("""COMPUTED_VALUE"""),"Tâm Trương Minh")</f>
        <v>Tâm Trương Minh</v>
      </c>
      <c r="B65" s="413">
        <f>IFERROR(__xludf.DUMMYFUNCTION("""COMPUTED_VALUE"""),46197.0)</f>
        <v>46197</v>
      </c>
      <c r="C65" s="197" t="str">
        <f>IFERROR(__xludf.DUMMYFUNCTION("""COMPUTED_VALUE"""),"500.Thao")</f>
        <v>500.Thao</v>
      </c>
      <c r="D65" s="197" t="str">
        <f>IFERROR(__xludf.DUMMYFUNCTION("""COMPUTED_VALUE"""),"Hoàn thành báo cáo ứng dụng AI trong công việc QS")</f>
        <v>Hoàn thành báo cáo ứng dụng AI trong công việc QS</v>
      </c>
      <c r="E65" s="197">
        <f>IFERROR(__xludf.DUMMYFUNCTION("""COMPUTED_VALUE"""),1.0)</f>
        <v>1</v>
      </c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  <c r="R65" s="197"/>
      <c r="S65" s="197"/>
      <c r="T65" s="197"/>
      <c r="U65" s="197"/>
      <c r="V65" s="197"/>
      <c r="W65" s="197"/>
      <c r="X65" s="197"/>
      <c r="Y65" s="197"/>
    </row>
    <row r="66">
      <c r="A66" s="197" t="str">
        <f>IFERROR(__xludf.DUMMYFUNCTION("""COMPUTED_VALUE"""),"Tâm Trương Minh")</f>
        <v>Tâm Trương Minh</v>
      </c>
      <c r="B66" s="413">
        <f>IFERROR(__xludf.DUMMYFUNCTION("""COMPUTED_VALUE"""),46197.0)</f>
        <v>46197</v>
      </c>
      <c r="C66" s="197" t="str">
        <f>IFERROR(__xludf.DUMMYFUNCTION("""COMPUTED_VALUE"""),"500.Giang")</f>
        <v>500.Giang</v>
      </c>
      <c r="D66" s="197" t="str">
        <f>IFERROR(__xludf.DUMMYFUNCTION("""COMPUTED_VALUE"""),"hoàn thành báo cáo ứng dụng AI trong công việc QS")</f>
        <v>hoàn thành báo cáo ứng dụng AI trong công việc QS</v>
      </c>
      <c r="E66" s="197">
        <f>IFERROR(__xludf.DUMMYFUNCTION("""COMPUTED_VALUE"""),1.0)</f>
        <v>1</v>
      </c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  <c r="R66" s="197"/>
      <c r="S66" s="197"/>
      <c r="T66" s="197"/>
      <c r="U66" s="197"/>
      <c r="V66" s="197"/>
      <c r="W66" s="197"/>
      <c r="X66" s="197"/>
      <c r="Y66" s="197"/>
    </row>
    <row r="67">
      <c r="A67" s="197" t="str">
        <f>IFERROR(__xludf.DUMMYFUNCTION("""COMPUTED_VALUE"""),"Tâm Trương Minh")</f>
        <v>Tâm Trương Minh</v>
      </c>
      <c r="B67" s="413">
        <f>IFERROR(__xludf.DUMMYFUNCTION("""COMPUTED_VALUE"""),46197.0)</f>
        <v>46197</v>
      </c>
      <c r="C67" s="197" t="str">
        <f>IFERROR(__xludf.DUMMYFUNCTION("""COMPUTED_VALUE"""),"500.Quyen")</f>
        <v>500.Quyen</v>
      </c>
      <c r="D67" s="197" t="str">
        <f>IFERROR(__xludf.DUMMYFUNCTION("""COMPUTED_VALUE"""),"hoàn thành báo cáo ứng dụng AI trong công việc QS")</f>
        <v>hoàn thành báo cáo ứng dụng AI trong công việc QS</v>
      </c>
      <c r="E67" s="197">
        <f>IFERROR(__xludf.DUMMYFUNCTION("""COMPUTED_VALUE"""),1.0)</f>
        <v>1</v>
      </c>
      <c r="F67" s="197"/>
      <c r="G67" s="197"/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</row>
    <row r="68">
      <c r="A68" s="197" t="str">
        <f>IFERROR(__xludf.DUMMYFUNCTION("""COMPUTED_VALUE"""),"Tâm Trương Minh")</f>
        <v>Tâm Trương Minh</v>
      </c>
      <c r="B68" s="413">
        <f>IFERROR(__xludf.DUMMYFUNCTION("""COMPUTED_VALUE"""),46197.0)</f>
        <v>46197</v>
      </c>
      <c r="C68" s="197" t="str">
        <f>IFERROR(__xludf.DUMMYFUNCTION("""COMPUTED_VALUE"""),"500.Thao")</f>
        <v>500.Thao</v>
      </c>
      <c r="D68" s="197" t="str">
        <f>IFERROR(__xludf.DUMMYFUNCTION("""COMPUTED_VALUE"""),"lỗi dự toán Hoàng Xá")</f>
        <v>lỗi dự toán Hoàng Xá</v>
      </c>
      <c r="E68" s="197">
        <f>IFERROR(__xludf.DUMMYFUNCTION("""COMPUTED_VALUE"""),-1.0)</f>
        <v>-1</v>
      </c>
      <c r="F68" s="197"/>
      <c r="G68" s="197"/>
      <c r="H68" s="197"/>
      <c r="I68" s="197"/>
      <c r="J68" s="197"/>
      <c r="K68" s="197"/>
      <c r="L68" s="197"/>
      <c r="M68" s="197"/>
      <c r="N68" s="197"/>
      <c r="O68" s="197"/>
      <c r="P68" s="197"/>
      <c r="Q68" s="197"/>
      <c r="R68" s="197"/>
      <c r="S68" s="197"/>
      <c r="T68" s="197"/>
      <c r="U68" s="197"/>
      <c r="V68" s="197"/>
      <c r="W68" s="197"/>
      <c r="X68" s="197"/>
      <c r="Y68" s="197"/>
    </row>
    <row r="69">
      <c r="A69" s="197"/>
      <c r="B69" s="197"/>
      <c r="C69" s="197"/>
      <c r="D69" s="197"/>
      <c r="E69" s="197"/>
      <c r="F69" s="197"/>
      <c r="G69" s="197"/>
      <c r="H69" s="197"/>
      <c r="I69" s="197"/>
      <c r="J69" s="197"/>
      <c r="K69" s="197"/>
      <c r="L69" s="197"/>
      <c r="M69" s="197"/>
      <c r="N69" s="197"/>
      <c r="O69" s="197"/>
      <c r="P69" s="197"/>
      <c r="Q69" s="197"/>
      <c r="R69" s="197"/>
      <c r="S69" s="197"/>
      <c r="T69" s="197"/>
      <c r="U69" s="197"/>
      <c r="V69" s="197"/>
      <c r="W69" s="197"/>
      <c r="X69" s="197"/>
      <c r="Y69" s="197"/>
    </row>
    <row r="70">
      <c r="A70" s="197"/>
      <c r="B70" s="197"/>
      <c r="C70" s="197"/>
      <c r="D70" s="197"/>
      <c r="E70" s="197"/>
      <c r="F70" s="197"/>
      <c r="G70" s="197"/>
      <c r="H70" s="197"/>
      <c r="I70" s="197"/>
      <c r="J70" s="197"/>
      <c r="K70" s="197"/>
      <c r="L70" s="197"/>
      <c r="M70" s="197"/>
      <c r="N70" s="197"/>
      <c r="O70" s="197"/>
      <c r="P70" s="197"/>
      <c r="Q70" s="197"/>
      <c r="R70" s="197"/>
      <c r="S70" s="197"/>
      <c r="T70" s="197"/>
      <c r="U70" s="197"/>
      <c r="V70" s="197"/>
      <c r="W70" s="197"/>
      <c r="X70" s="197"/>
      <c r="Y70" s="197"/>
    </row>
    <row r="71">
      <c r="A71" s="197"/>
      <c r="B71" s="197"/>
      <c r="C71" s="197"/>
      <c r="D71" s="197"/>
      <c r="E71" s="197"/>
      <c r="F71" s="197"/>
      <c r="G71" s="197"/>
      <c r="H71" s="197"/>
      <c r="I71" s="197"/>
      <c r="J71" s="197"/>
      <c r="K71" s="197"/>
      <c r="L71" s="197"/>
      <c r="M71" s="197"/>
      <c r="N71" s="197"/>
      <c r="O71" s="197"/>
      <c r="P71" s="197"/>
      <c r="Q71" s="197"/>
      <c r="R71" s="197"/>
      <c r="S71" s="197"/>
      <c r="T71" s="197"/>
      <c r="U71" s="197"/>
      <c r="V71" s="197"/>
      <c r="W71" s="197"/>
      <c r="X71" s="197"/>
      <c r="Y71" s="197"/>
    </row>
    <row r="72">
      <c r="A72" s="197"/>
      <c r="B72" s="412"/>
      <c r="C72" s="197"/>
      <c r="D72" s="197"/>
      <c r="E72" s="197"/>
      <c r="F72" s="197"/>
      <c r="G72" s="197"/>
      <c r="H72" s="197"/>
      <c r="I72" s="197"/>
      <c r="J72" s="197"/>
      <c r="K72" s="197"/>
      <c r="L72" s="197"/>
      <c r="M72" s="197"/>
      <c r="N72" s="197"/>
      <c r="O72" s="197"/>
      <c r="P72" s="197"/>
      <c r="Q72" s="197"/>
      <c r="R72" s="197"/>
      <c r="S72" s="197"/>
      <c r="T72" s="197"/>
      <c r="U72" s="197"/>
      <c r="V72" s="197"/>
      <c r="W72" s="197"/>
      <c r="X72" s="197"/>
      <c r="Y72" s="197"/>
    </row>
    <row r="73">
      <c r="A73" s="197"/>
      <c r="B73" s="197"/>
      <c r="C73" s="197"/>
      <c r="D73" s="197"/>
      <c r="E73" s="197"/>
      <c r="F73" s="197"/>
      <c r="G73" s="197"/>
      <c r="H73" s="197"/>
      <c r="I73" s="197"/>
      <c r="J73" s="197"/>
      <c r="K73" s="197"/>
      <c r="L73" s="197"/>
      <c r="M73" s="197"/>
      <c r="N73" s="197"/>
      <c r="O73" s="197"/>
      <c r="P73" s="197"/>
      <c r="Q73" s="197"/>
      <c r="R73" s="197"/>
      <c r="S73" s="197"/>
      <c r="T73" s="197"/>
      <c r="U73" s="197"/>
      <c r="V73" s="197"/>
      <c r="W73" s="197"/>
      <c r="X73" s="197"/>
      <c r="Y73" s="197"/>
    </row>
    <row r="74">
      <c r="A74" s="197"/>
      <c r="B74" s="197"/>
      <c r="C74" s="197"/>
      <c r="D74" s="197"/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</row>
    <row r="75">
      <c r="A75" s="197"/>
      <c r="B75" s="197"/>
      <c r="C75" s="197"/>
      <c r="D75" s="197"/>
      <c r="E75" s="197"/>
      <c r="F75" s="197"/>
      <c r="G75" s="197"/>
      <c r="H75" s="197"/>
      <c r="I75" s="197"/>
      <c r="J75" s="197"/>
      <c r="K75" s="197"/>
      <c r="L75" s="197"/>
      <c r="M75" s="197"/>
      <c r="N75" s="197"/>
      <c r="O75" s="197"/>
      <c r="P75" s="197"/>
      <c r="Q75" s="197"/>
      <c r="R75" s="197"/>
      <c r="S75" s="197"/>
      <c r="T75" s="197"/>
      <c r="U75" s="197"/>
      <c r="V75" s="197"/>
      <c r="W75" s="197"/>
      <c r="X75" s="197"/>
      <c r="Y75" s="197"/>
    </row>
    <row r="76">
      <c r="A76" s="197"/>
      <c r="B76" s="197"/>
      <c r="C76" s="197"/>
      <c r="D76" s="197"/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</row>
    <row r="77">
      <c r="A77" s="197"/>
      <c r="B77" s="197"/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97"/>
      <c r="O77" s="197"/>
      <c r="P77" s="197"/>
      <c r="Q77" s="197"/>
      <c r="R77" s="197"/>
      <c r="S77" s="197"/>
      <c r="T77" s="197"/>
      <c r="U77" s="197"/>
      <c r="V77" s="197"/>
      <c r="W77" s="197"/>
      <c r="X77" s="197"/>
      <c r="Y77" s="197"/>
    </row>
    <row r="78">
      <c r="A78" s="197"/>
      <c r="B78" s="197"/>
      <c r="C78" s="197"/>
      <c r="D78" s="197"/>
      <c r="E78" s="197"/>
      <c r="F78" s="197"/>
      <c r="G78" s="197"/>
      <c r="H78" s="197"/>
      <c r="I78" s="197"/>
      <c r="J78" s="197"/>
      <c r="K78" s="197"/>
      <c r="L78" s="197"/>
      <c r="M78" s="197"/>
      <c r="N78" s="197"/>
      <c r="O78" s="197"/>
      <c r="P78" s="197"/>
      <c r="Q78" s="197"/>
      <c r="R78" s="197"/>
      <c r="S78" s="197"/>
      <c r="T78" s="197"/>
      <c r="U78" s="197"/>
      <c r="V78" s="197"/>
      <c r="W78" s="197"/>
      <c r="X78" s="197"/>
      <c r="Y78" s="197"/>
    </row>
    <row r="79">
      <c r="A79" s="197"/>
      <c r="B79" s="412"/>
      <c r="C79" s="197"/>
      <c r="D79" s="197"/>
      <c r="E79" s="197"/>
      <c r="F79" s="197"/>
      <c r="G79" s="197"/>
      <c r="H79" s="197"/>
      <c r="I79" s="197"/>
      <c r="J79" s="197"/>
      <c r="K79" s="197"/>
      <c r="L79" s="197"/>
      <c r="M79" s="197"/>
      <c r="N79" s="197"/>
      <c r="O79" s="197"/>
      <c r="P79" s="197"/>
      <c r="Q79" s="197"/>
      <c r="R79" s="197"/>
      <c r="S79" s="197"/>
      <c r="T79" s="197"/>
      <c r="U79" s="197"/>
      <c r="V79" s="197"/>
      <c r="W79" s="197"/>
      <c r="X79" s="197"/>
      <c r="Y79" s="197"/>
    </row>
    <row r="80">
      <c r="A80" s="197"/>
      <c r="B80" s="197"/>
      <c r="C80" s="197"/>
      <c r="D80" s="197"/>
      <c r="E80" s="197"/>
      <c r="F80" s="197"/>
      <c r="G80" s="197"/>
      <c r="H80" s="197"/>
      <c r="I80" s="197"/>
      <c r="J80" s="197"/>
      <c r="K80" s="197"/>
      <c r="L80" s="197"/>
      <c r="M80" s="197"/>
      <c r="N80" s="197"/>
      <c r="O80" s="197"/>
      <c r="P80" s="197"/>
      <c r="Q80" s="197"/>
      <c r="R80" s="197"/>
      <c r="S80" s="197"/>
      <c r="T80" s="197"/>
      <c r="U80" s="197"/>
      <c r="V80" s="197"/>
      <c r="W80" s="197"/>
      <c r="X80" s="197"/>
      <c r="Y80" s="197"/>
    </row>
    <row r="81">
      <c r="A81" s="197"/>
      <c r="B81" s="197"/>
      <c r="C81" s="197"/>
      <c r="D81" s="197"/>
      <c r="E81" s="197"/>
      <c r="F81" s="197"/>
      <c r="G81" s="197"/>
      <c r="H81" s="197"/>
      <c r="I81" s="197"/>
      <c r="J81" s="197"/>
      <c r="K81" s="197"/>
      <c r="L81" s="197"/>
      <c r="M81" s="197"/>
      <c r="N81" s="197"/>
      <c r="O81" s="197"/>
      <c r="P81" s="197"/>
      <c r="Q81" s="197"/>
      <c r="R81" s="197"/>
      <c r="S81" s="197"/>
      <c r="T81" s="197"/>
      <c r="U81" s="197"/>
      <c r="V81" s="197"/>
      <c r="W81" s="197"/>
      <c r="X81" s="197"/>
      <c r="Y81" s="197"/>
    </row>
    <row r="82">
      <c r="A82" s="197"/>
      <c r="B82" s="197"/>
      <c r="C82" s="197"/>
      <c r="D82" s="197"/>
      <c r="E82" s="197"/>
      <c r="F82" s="197"/>
      <c r="G82" s="197"/>
      <c r="H82" s="197"/>
      <c r="I82" s="197"/>
      <c r="J82" s="197"/>
      <c r="K82" s="197"/>
      <c r="L82" s="197"/>
      <c r="M82" s="197"/>
      <c r="N82" s="197"/>
      <c r="O82" s="197"/>
      <c r="P82" s="197"/>
      <c r="Q82" s="197"/>
      <c r="R82" s="197"/>
      <c r="S82" s="197"/>
      <c r="T82" s="197"/>
      <c r="U82" s="197"/>
      <c r="V82" s="197"/>
      <c r="W82" s="197"/>
      <c r="X82" s="197"/>
      <c r="Y82" s="197"/>
    </row>
    <row r="83">
      <c r="A83" s="197"/>
      <c r="B83" s="197"/>
      <c r="C83" s="197"/>
      <c r="D83" s="197"/>
      <c r="E83" s="197"/>
      <c r="F83" s="197"/>
      <c r="G83" s="197"/>
      <c r="H83" s="197"/>
      <c r="I83" s="197"/>
      <c r="J83" s="197"/>
      <c r="K83" s="197"/>
      <c r="L83" s="197"/>
      <c r="M83" s="197"/>
      <c r="N83" s="197"/>
      <c r="O83" s="197"/>
      <c r="P83" s="197"/>
      <c r="Q83" s="197"/>
      <c r="R83" s="197"/>
      <c r="S83" s="197"/>
      <c r="T83" s="197"/>
      <c r="U83" s="197"/>
      <c r="V83" s="197"/>
      <c r="W83" s="197"/>
      <c r="X83" s="197"/>
      <c r="Y83" s="197"/>
    </row>
    <row r="84">
      <c r="A84" s="197"/>
      <c r="B84" s="197"/>
      <c r="C84" s="197"/>
      <c r="D84" s="197"/>
      <c r="E84" s="197"/>
      <c r="F84" s="197"/>
      <c r="G84" s="197"/>
      <c r="H84" s="197"/>
      <c r="I84" s="197"/>
      <c r="J84" s="197"/>
      <c r="K84" s="197"/>
      <c r="L84" s="197"/>
      <c r="M84" s="197"/>
      <c r="N84" s="197"/>
      <c r="O84" s="197"/>
      <c r="P84" s="197"/>
      <c r="Q84" s="197"/>
      <c r="R84" s="197"/>
      <c r="S84" s="197"/>
      <c r="T84" s="197"/>
      <c r="U84" s="197"/>
      <c r="V84" s="197"/>
      <c r="W84" s="197"/>
      <c r="X84" s="197"/>
      <c r="Y84" s="197"/>
    </row>
    <row r="85">
      <c r="A85" s="197"/>
      <c r="B85" s="197"/>
      <c r="C85" s="197"/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</row>
    <row r="86">
      <c r="A86" s="197"/>
      <c r="B86" s="197"/>
      <c r="C86" s="197"/>
      <c r="D86" s="197"/>
      <c r="E86" s="197"/>
      <c r="F86" s="197"/>
      <c r="G86" s="197"/>
      <c r="H86" s="197"/>
      <c r="I86" s="197"/>
      <c r="J86" s="197"/>
      <c r="K86" s="197"/>
      <c r="L86" s="197"/>
      <c r="M86" s="197"/>
      <c r="N86" s="197"/>
      <c r="O86" s="197"/>
      <c r="P86" s="197"/>
      <c r="Q86" s="197"/>
      <c r="R86" s="197"/>
      <c r="S86" s="197"/>
      <c r="T86" s="197"/>
      <c r="U86" s="197"/>
      <c r="V86" s="197"/>
      <c r="W86" s="197"/>
      <c r="X86" s="197"/>
      <c r="Y86" s="197"/>
    </row>
    <row r="87">
      <c r="A87" s="197"/>
      <c r="B87" s="197"/>
      <c r="C87" s="197"/>
      <c r="D87" s="197" t="str">
        <f>IFERROR(__xludf.DUMMYFUNCTION("""COMPUTED_VALUE""")," ")</f>
        <v> </v>
      </c>
      <c r="E87" s="197"/>
      <c r="F87" s="197"/>
      <c r="G87" s="197"/>
      <c r="H87" s="197"/>
      <c r="I87" s="197"/>
      <c r="J87" s="197"/>
      <c r="K87" s="197"/>
      <c r="L87" s="197"/>
      <c r="M87" s="197"/>
      <c r="N87" s="197"/>
      <c r="O87" s="197"/>
      <c r="P87" s="197"/>
      <c r="Q87" s="197"/>
      <c r="R87" s="197"/>
      <c r="S87" s="197"/>
      <c r="T87" s="197"/>
      <c r="U87" s="197"/>
      <c r="V87" s="197"/>
      <c r="W87" s="197"/>
      <c r="X87" s="197"/>
      <c r="Y87" s="197"/>
    </row>
    <row r="88">
      <c r="A88" s="197"/>
      <c r="B88" s="197"/>
      <c r="C88" s="197"/>
      <c r="D88" s="197"/>
      <c r="E88" s="197"/>
      <c r="F88" s="197"/>
      <c r="G88" s="197"/>
      <c r="H88" s="197"/>
      <c r="I88" s="197"/>
      <c r="J88" s="197"/>
      <c r="K88" s="197"/>
      <c r="L88" s="197"/>
      <c r="M88" s="197"/>
      <c r="N88" s="197"/>
      <c r="O88" s="197"/>
      <c r="P88" s="197"/>
      <c r="Q88" s="197"/>
      <c r="R88" s="197"/>
      <c r="S88" s="197"/>
      <c r="T88" s="197"/>
      <c r="U88" s="197"/>
      <c r="V88" s="197"/>
      <c r="W88" s="197"/>
      <c r="X88" s="197"/>
      <c r="Y88" s="197"/>
    </row>
    <row r="89">
      <c r="A89" s="197"/>
      <c r="B89" s="197"/>
      <c r="C89" s="197"/>
      <c r="D89" s="197"/>
      <c r="E89" s="197"/>
      <c r="F89" s="197"/>
      <c r="G89" s="197"/>
      <c r="H89" s="197"/>
      <c r="I89" s="197"/>
      <c r="J89" s="197"/>
      <c r="K89" s="197"/>
      <c r="L89" s="197"/>
      <c r="M89" s="197"/>
      <c r="N89" s="197"/>
      <c r="O89" s="197"/>
      <c r="P89" s="197"/>
      <c r="Q89" s="197"/>
      <c r="R89" s="197"/>
      <c r="S89" s="197"/>
      <c r="T89" s="197"/>
      <c r="U89" s="197"/>
      <c r="V89" s="197"/>
      <c r="W89" s="197"/>
      <c r="X89" s="197"/>
      <c r="Y89" s="197"/>
    </row>
    <row r="90">
      <c r="A90" s="197"/>
      <c r="B90" s="197"/>
      <c r="C90" s="197"/>
      <c r="D90" s="197"/>
      <c r="E90" s="197"/>
      <c r="F90" s="197"/>
      <c r="G90" s="197"/>
      <c r="H90" s="197"/>
      <c r="I90" s="197"/>
      <c r="J90" s="197"/>
      <c r="K90" s="197"/>
      <c r="L90" s="197"/>
      <c r="M90" s="197"/>
      <c r="N90" s="197"/>
      <c r="O90" s="197"/>
      <c r="P90" s="197"/>
      <c r="Q90" s="197"/>
      <c r="R90" s="197"/>
      <c r="S90" s="197"/>
      <c r="T90" s="197"/>
      <c r="U90" s="197"/>
      <c r="V90" s="197"/>
      <c r="W90" s="197"/>
      <c r="X90" s="197"/>
      <c r="Y90" s="197"/>
    </row>
    <row r="91">
      <c r="A91" s="197"/>
      <c r="B91" s="197"/>
      <c r="C91" s="197"/>
      <c r="D91" s="197"/>
      <c r="E91" s="197"/>
      <c r="F91" s="197"/>
      <c r="G91" s="197"/>
      <c r="H91" s="197"/>
      <c r="I91" s="197"/>
      <c r="J91" s="197"/>
      <c r="K91" s="197"/>
      <c r="L91" s="197"/>
      <c r="M91" s="197"/>
      <c r="N91" s="197"/>
      <c r="O91" s="197"/>
      <c r="P91" s="197"/>
      <c r="Q91" s="197"/>
      <c r="R91" s="197"/>
      <c r="S91" s="197"/>
      <c r="T91" s="197"/>
      <c r="U91" s="197"/>
      <c r="V91" s="197"/>
      <c r="W91" s="197"/>
      <c r="X91" s="197"/>
      <c r="Y91" s="197"/>
    </row>
    <row r="92">
      <c r="A92" s="197"/>
      <c r="B92" s="197"/>
      <c r="C92" s="197"/>
      <c r="D92" s="197"/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</row>
    <row r="93">
      <c r="A93" s="197"/>
      <c r="B93" s="197"/>
      <c r="C93" s="197"/>
      <c r="D93" s="197"/>
      <c r="E93" s="197"/>
      <c r="F93" s="197"/>
      <c r="G93" s="197"/>
      <c r="H93" s="197"/>
      <c r="I93" s="197"/>
      <c r="J93" s="197"/>
      <c r="K93" s="197"/>
      <c r="L93" s="197"/>
      <c r="M93" s="197"/>
      <c r="N93" s="197"/>
      <c r="O93" s="197"/>
      <c r="P93" s="197"/>
      <c r="Q93" s="197"/>
      <c r="R93" s="197"/>
      <c r="S93" s="197"/>
      <c r="T93" s="197"/>
      <c r="U93" s="197"/>
      <c r="V93" s="197"/>
      <c r="W93" s="197"/>
      <c r="X93" s="197"/>
      <c r="Y93" s="197"/>
    </row>
    <row r="94">
      <c r="A94" s="197"/>
      <c r="B94" s="197"/>
      <c r="C94" s="197"/>
      <c r="D94" s="197"/>
      <c r="E94" s="197"/>
      <c r="F94" s="197"/>
      <c r="G94" s="197"/>
      <c r="H94" s="197"/>
      <c r="I94" s="197"/>
      <c r="J94" s="197"/>
      <c r="K94" s="197"/>
      <c r="L94" s="197"/>
      <c r="M94" s="197"/>
      <c r="N94" s="197"/>
      <c r="O94" s="197"/>
      <c r="P94" s="197"/>
      <c r="Q94" s="197"/>
      <c r="R94" s="197"/>
      <c r="S94" s="197"/>
      <c r="T94" s="197"/>
      <c r="U94" s="197"/>
      <c r="V94" s="197"/>
      <c r="W94" s="197"/>
      <c r="X94" s="197"/>
      <c r="Y94" s="197"/>
    </row>
    <row r="95">
      <c r="A95" s="197"/>
      <c r="B95" s="197"/>
      <c r="C95" s="197"/>
      <c r="D95" s="197"/>
      <c r="E95" s="197"/>
      <c r="F95" s="197"/>
      <c r="G95" s="197"/>
      <c r="H95" s="197"/>
      <c r="I95" s="197"/>
      <c r="J95" s="197"/>
      <c r="K95" s="197"/>
      <c r="L95" s="197"/>
      <c r="M95" s="197"/>
      <c r="N95" s="197"/>
      <c r="O95" s="197"/>
      <c r="P95" s="197"/>
      <c r="Q95" s="197"/>
      <c r="R95" s="197"/>
      <c r="S95" s="197"/>
      <c r="T95" s="197"/>
      <c r="U95" s="197"/>
      <c r="V95" s="197"/>
      <c r="W95" s="197"/>
      <c r="X95" s="197"/>
      <c r="Y95" s="197"/>
    </row>
    <row r="96">
      <c r="A96" s="197"/>
      <c r="B96" s="197"/>
      <c r="C96" s="197"/>
      <c r="D96" s="197"/>
      <c r="E96" s="197"/>
      <c r="F96" s="197"/>
      <c r="G96" s="197"/>
      <c r="H96" s="197"/>
      <c r="I96" s="197"/>
      <c r="J96" s="197"/>
      <c r="K96" s="197"/>
      <c r="L96" s="197"/>
      <c r="M96" s="197"/>
      <c r="N96" s="197"/>
      <c r="O96" s="197"/>
      <c r="P96" s="197"/>
      <c r="Q96" s="197"/>
      <c r="R96" s="197"/>
      <c r="S96" s="197"/>
      <c r="T96" s="197"/>
      <c r="U96" s="197"/>
      <c r="V96" s="197"/>
      <c r="W96" s="197"/>
      <c r="X96" s="197"/>
      <c r="Y96" s="197"/>
    </row>
    <row r="97">
      <c r="A97" s="197"/>
      <c r="B97" s="197"/>
      <c r="C97" s="197"/>
      <c r="D97" s="197"/>
      <c r="E97" s="197"/>
      <c r="F97" s="197"/>
      <c r="G97" s="197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7"/>
      <c r="W97" s="197"/>
      <c r="X97" s="197"/>
      <c r="Y97" s="197"/>
    </row>
    <row r="98">
      <c r="A98" s="197"/>
      <c r="B98" s="197"/>
      <c r="C98" s="197"/>
      <c r="D98" s="197"/>
      <c r="E98" s="197"/>
      <c r="F98" s="197"/>
      <c r="G98" s="197"/>
      <c r="H98" s="197"/>
      <c r="I98" s="197"/>
      <c r="J98" s="197"/>
      <c r="K98" s="197"/>
      <c r="L98" s="197"/>
      <c r="M98" s="197"/>
      <c r="N98" s="197"/>
      <c r="O98" s="197"/>
      <c r="P98" s="197"/>
      <c r="Q98" s="197"/>
      <c r="R98" s="197"/>
      <c r="S98" s="197"/>
      <c r="T98" s="197"/>
      <c r="U98" s="197"/>
      <c r="V98" s="197"/>
      <c r="W98" s="197"/>
      <c r="X98" s="197"/>
      <c r="Y98" s="197"/>
    </row>
    <row r="99">
      <c r="A99" s="197"/>
      <c r="B99" s="197"/>
      <c r="C99" s="197"/>
      <c r="D99" s="197"/>
      <c r="E99" s="197"/>
      <c r="F99" s="197"/>
      <c r="G99" s="197"/>
      <c r="H99" s="197"/>
      <c r="I99" s="197"/>
      <c r="J99" s="197"/>
      <c r="K99" s="197"/>
      <c r="L99" s="197"/>
      <c r="M99" s="197"/>
      <c r="N99" s="197"/>
      <c r="O99" s="197"/>
      <c r="P99" s="197"/>
      <c r="Q99" s="197"/>
      <c r="R99" s="197"/>
      <c r="S99" s="197"/>
      <c r="T99" s="197"/>
      <c r="U99" s="197"/>
      <c r="V99" s="197"/>
      <c r="W99" s="197"/>
      <c r="X99" s="197"/>
      <c r="Y99" s="197"/>
    </row>
    <row r="100">
      <c r="A100" s="197"/>
      <c r="B100" s="197"/>
      <c r="C100" s="197"/>
      <c r="D100" s="197"/>
      <c r="E100" s="197"/>
      <c r="F100" s="197"/>
      <c r="G100" s="197"/>
      <c r="H100" s="197"/>
      <c r="I100" s="197"/>
      <c r="J100" s="197"/>
      <c r="K100" s="197"/>
      <c r="L100" s="197"/>
      <c r="M100" s="197"/>
      <c r="N100" s="197"/>
      <c r="O100" s="197"/>
      <c r="P100" s="197"/>
      <c r="Q100" s="197"/>
      <c r="R100" s="197"/>
      <c r="S100" s="197"/>
      <c r="T100" s="197"/>
      <c r="U100" s="197"/>
      <c r="V100" s="197"/>
      <c r="W100" s="197"/>
      <c r="X100" s="197"/>
      <c r="Y100" s="197"/>
    </row>
    <row r="101">
      <c r="A101" s="197"/>
      <c r="B101" s="197"/>
      <c r="C101" s="197"/>
      <c r="D101" s="197"/>
      <c r="E101" s="197"/>
      <c r="F101" s="197"/>
      <c r="G101" s="197"/>
      <c r="H101" s="197"/>
      <c r="I101" s="197"/>
      <c r="J101" s="197"/>
      <c r="K101" s="197"/>
      <c r="L101" s="197"/>
      <c r="M101" s="197"/>
      <c r="N101" s="197"/>
      <c r="O101" s="197"/>
      <c r="P101" s="197"/>
      <c r="Q101" s="197"/>
      <c r="R101" s="197"/>
      <c r="S101" s="197"/>
      <c r="T101" s="197"/>
      <c r="U101" s="197"/>
      <c r="V101" s="197"/>
      <c r="W101" s="197"/>
      <c r="X101" s="197"/>
      <c r="Y101" s="197"/>
    </row>
    <row r="102">
      <c r="A102" s="197"/>
      <c r="B102" s="197"/>
      <c r="C102" s="197"/>
      <c r="D102" s="197"/>
      <c r="E102" s="197"/>
      <c r="F102" s="197"/>
      <c r="G102" s="197"/>
      <c r="H102" s="197"/>
      <c r="I102" s="197"/>
      <c r="J102" s="197"/>
      <c r="K102" s="197"/>
      <c r="L102" s="197"/>
      <c r="M102" s="197"/>
      <c r="N102" s="197"/>
      <c r="O102" s="197"/>
      <c r="P102" s="197"/>
      <c r="Q102" s="197"/>
      <c r="R102" s="197"/>
      <c r="S102" s="197"/>
      <c r="T102" s="197"/>
      <c r="U102" s="197"/>
      <c r="V102" s="197"/>
      <c r="W102" s="197"/>
      <c r="X102" s="197"/>
      <c r="Y102" s="197"/>
    </row>
    <row r="103">
      <c r="A103" s="197"/>
      <c r="B103" s="197"/>
      <c r="C103" s="197"/>
      <c r="D103" s="197"/>
      <c r="E103" s="197"/>
      <c r="F103" s="197"/>
      <c r="G103" s="197"/>
      <c r="H103" s="197"/>
      <c r="I103" s="197"/>
      <c r="J103" s="197"/>
      <c r="K103" s="197"/>
      <c r="L103" s="197"/>
      <c r="M103" s="197"/>
      <c r="N103" s="197"/>
      <c r="O103" s="197"/>
      <c r="P103" s="197"/>
      <c r="Q103" s="197"/>
      <c r="R103" s="197"/>
      <c r="S103" s="197"/>
      <c r="T103" s="197"/>
      <c r="U103" s="197"/>
      <c r="V103" s="197"/>
      <c r="W103" s="197"/>
      <c r="X103" s="197"/>
      <c r="Y103" s="197"/>
    </row>
    <row r="104">
      <c r="A104" s="197"/>
      <c r="B104" s="197"/>
      <c r="C104" s="197"/>
      <c r="D104" s="197"/>
      <c r="E104" s="197"/>
      <c r="F104" s="197"/>
      <c r="G104" s="197"/>
      <c r="H104" s="197"/>
      <c r="I104" s="197"/>
      <c r="J104" s="197"/>
      <c r="K104" s="197"/>
      <c r="L104" s="197"/>
      <c r="M104" s="197"/>
      <c r="N104" s="197"/>
      <c r="O104" s="197"/>
      <c r="P104" s="197"/>
      <c r="Q104" s="197"/>
      <c r="R104" s="197"/>
      <c r="S104" s="197"/>
      <c r="T104" s="197"/>
      <c r="U104" s="197"/>
      <c r="V104" s="197"/>
      <c r="W104" s="197"/>
      <c r="X104" s="197"/>
      <c r="Y104" s="197"/>
    </row>
    <row r="105">
      <c r="A105" s="197"/>
      <c r="B105" s="197"/>
      <c r="C105" s="197"/>
      <c r="D105" s="197"/>
      <c r="E105" s="197"/>
      <c r="F105" s="197"/>
      <c r="G105" s="197"/>
      <c r="H105" s="197"/>
      <c r="I105" s="197"/>
      <c r="J105" s="197"/>
      <c r="K105" s="197"/>
      <c r="L105" s="197"/>
      <c r="M105" s="197"/>
      <c r="N105" s="197"/>
      <c r="O105" s="197"/>
      <c r="P105" s="197"/>
      <c r="Q105" s="197"/>
      <c r="R105" s="197"/>
      <c r="S105" s="197"/>
      <c r="T105" s="197"/>
      <c r="U105" s="197"/>
      <c r="V105" s="197"/>
      <c r="W105" s="197"/>
      <c r="X105" s="197"/>
      <c r="Y105" s="197"/>
    </row>
    <row r="106">
      <c r="A106" s="197"/>
      <c r="B106" s="197"/>
      <c r="C106" s="197"/>
      <c r="D106" s="197"/>
      <c r="E106" s="197"/>
      <c r="F106" s="197"/>
      <c r="G106" s="197"/>
      <c r="H106" s="197"/>
      <c r="I106" s="197"/>
      <c r="J106" s="197"/>
      <c r="K106" s="197"/>
      <c r="L106" s="197"/>
      <c r="M106" s="197"/>
      <c r="N106" s="197"/>
      <c r="O106" s="197"/>
      <c r="P106" s="197"/>
      <c r="Q106" s="197"/>
      <c r="R106" s="197"/>
      <c r="S106" s="197"/>
      <c r="T106" s="197"/>
      <c r="U106" s="197"/>
      <c r="V106" s="197"/>
      <c r="W106" s="197"/>
      <c r="X106" s="197"/>
      <c r="Y106" s="197"/>
    </row>
    <row r="107">
      <c r="A107" s="197"/>
      <c r="B107" s="197"/>
      <c r="C107" s="197"/>
      <c r="D107" s="197"/>
      <c r="E107" s="197"/>
      <c r="F107" s="197"/>
      <c r="G107" s="197"/>
      <c r="H107" s="197"/>
      <c r="I107" s="197"/>
      <c r="J107" s="197"/>
      <c r="K107" s="197"/>
      <c r="L107" s="197"/>
      <c r="M107" s="197"/>
      <c r="N107" s="197"/>
      <c r="O107" s="197"/>
      <c r="P107" s="197"/>
      <c r="Q107" s="197"/>
      <c r="R107" s="197"/>
      <c r="S107" s="197"/>
      <c r="T107" s="197"/>
      <c r="U107" s="197"/>
      <c r="V107" s="197"/>
      <c r="W107" s="197"/>
      <c r="X107" s="197"/>
      <c r="Y107" s="197"/>
    </row>
    <row r="108">
      <c r="A108" s="197"/>
      <c r="B108" s="197"/>
      <c r="C108" s="197"/>
      <c r="D108" s="197"/>
      <c r="E108" s="197"/>
      <c r="F108" s="197"/>
      <c r="G108" s="197"/>
      <c r="H108" s="197"/>
      <c r="I108" s="197"/>
      <c r="J108" s="197"/>
      <c r="K108" s="197"/>
      <c r="L108" s="197"/>
      <c r="M108" s="197"/>
      <c r="N108" s="197"/>
      <c r="O108" s="197"/>
      <c r="P108" s="197"/>
      <c r="Q108" s="197"/>
      <c r="R108" s="197"/>
      <c r="S108" s="197"/>
      <c r="T108" s="197"/>
      <c r="U108" s="197"/>
      <c r="V108" s="197"/>
      <c r="W108" s="197"/>
      <c r="X108" s="197"/>
      <c r="Y108" s="197"/>
    </row>
    <row r="109">
      <c r="A109" s="197"/>
      <c r="B109" s="197"/>
      <c r="C109" s="197"/>
      <c r="D109" s="197"/>
      <c r="E109" s="197"/>
      <c r="F109" s="197"/>
      <c r="G109" s="197"/>
      <c r="H109" s="197"/>
      <c r="I109" s="197"/>
      <c r="J109" s="197"/>
      <c r="K109" s="197"/>
      <c r="L109" s="197"/>
      <c r="M109" s="197"/>
      <c r="N109" s="197"/>
      <c r="O109" s="197"/>
      <c r="P109" s="197"/>
      <c r="Q109" s="197"/>
      <c r="R109" s="197"/>
      <c r="S109" s="197"/>
      <c r="T109" s="197"/>
      <c r="U109" s="197"/>
      <c r="V109" s="197"/>
      <c r="W109" s="197"/>
      <c r="X109" s="197"/>
      <c r="Y109" s="197"/>
    </row>
    <row r="110">
      <c r="A110" s="197"/>
      <c r="B110" s="197"/>
      <c r="C110" s="197"/>
      <c r="D110" s="197"/>
      <c r="E110" s="197"/>
      <c r="F110" s="197"/>
      <c r="G110" s="197"/>
      <c r="H110" s="197"/>
      <c r="I110" s="197"/>
      <c r="J110" s="197"/>
      <c r="K110" s="197"/>
      <c r="L110" s="197"/>
      <c r="M110" s="197"/>
      <c r="N110" s="197"/>
      <c r="O110" s="197"/>
      <c r="P110" s="197"/>
      <c r="Q110" s="197"/>
      <c r="R110" s="197"/>
      <c r="S110" s="197"/>
      <c r="T110" s="197"/>
      <c r="U110" s="197"/>
      <c r="V110" s="197"/>
      <c r="W110" s="197"/>
      <c r="X110" s="197"/>
      <c r="Y110" s="197"/>
    </row>
    <row r="111">
      <c r="A111" s="197"/>
      <c r="B111" s="197"/>
      <c r="C111" s="197"/>
      <c r="D111" s="197"/>
      <c r="E111" s="197"/>
      <c r="F111" s="197"/>
      <c r="G111" s="197"/>
      <c r="H111" s="197"/>
      <c r="I111" s="197"/>
      <c r="J111" s="197"/>
      <c r="K111" s="197"/>
      <c r="L111" s="197"/>
      <c r="M111" s="197"/>
      <c r="N111" s="197"/>
      <c r="O111" s="197"/>
      <c r="P111" s="197"/>
      <c r="Q111" s="197"/>
      <c r="R111" s="197"/>
      <c r="S111" s="197"/>
      <c r="T111" s="197"/>
      <c r="U111" s="197"/>
      <c r="V111" s="197"/>
      <c r="W111" s="197"/>
      <c r="X111" s="197"/>
      <c r="Y111" s="197"/>
    </row>
    <row r="112">
      <c r="A112" s="197"/>
      <c r="B112" s="197"/>
      <c r="C112" s="197"/>
      <c r="D112" s="197"/>
      <c r="E112" s="197"/>
      <c r="F112" s="197"/>
      <c r="G112" s="197"/>
      <c r="H112" s="197"/>
      <c r="I112" s="197"/>
      <c r="J112" s="197"/>
      <c r="K112" s="197"/>
      <c r="L112" s="197"/>
      <c r="M112" s="197"/>
      <c r="N112" s="197"/>
      <c r="O112" s="197"/>
      <c r="P112" s="197"/>
      <c r="Q112" s="197"/>
      <c r="R112" s="197"/>
      <c r="S112" s="197"/>
      <c r="T112" s="197"/>
      <c r="U112" s="197"/>
      <c r="V112" s="197"/>
      <c r="W112" s="197"/>
      <c r="X112" s="197"/>
      <c r="Y112" s="197"/>
    </row>
    <row r="113">
      <c r="A113" s="197"/>
      <c r="B113" s="197"/>
      <c r="C113" s="197"/>
      <c r="D113" s="197"/>
      <c r="E113" s="197"/>
      <c r="F113" s="197"/>
      <c r="G113" s="197"/>
      <c r="H113" s="197"/>
      <c r="I113" s="197"/>
      <c r="J113" s="197"/>
      <c r="K113" s="197"/>
      <c r="L113" s="197"/>
      <c r="M113" s="197"/>
      <c r="N113" s="197"/>
      <c r="O113" s="197"/>
      <c r="P113" s="197"/>
      <c r="Q113" s="197"/>
      <c r="R113" s="197"/>
      <c r="S113" s="197"/>
      <c r="T113" s="197"/>
      <c r="U113" s="197"/>
      <c r="V113" s="197"/>
      <c r="W113" s="197"/>
      <c r="X113" s="197"/>
      <c r="Y113" s="197"/>
    </row>
    <row r="114">
      <c r="A114" s="197"/>
      <c r="B114" s="197"/>
      <c r="C114" s="197"/>
      <c r="D114" s="197"/>
      <c r="E114" s="197"/>
      <c r="F114" s="197"/>
      <c r="G114" s="197"/>
      <c r="H114" s="197"/>
      <c r="I114" s="197"/>
      <c r="J114" s="197"/>
      <c r="K114" s="197"/>
      <c r="L114" s="197"/>
      <c r="M114" s="197"/>
      <c r="N114" s="197"/>
      <c r="O114" s="197"/>
      <c r="P114" s="197"/>
      <c r="Q114" s="197"/>
      <c r="R114" s="197"/>
      <c r="S114" s="197"/>
      <c r="T114" s="197"/>
      <c r="U114" s="197"/>
      <c r="V114" s="197"/>
      <c r="W114" s="197"/>
      <c r="X114" s="197"/>
      <c r="Y114" s="197"/>
    </row>
    <row r="115">
      <c r="A115" s="197"/>
      <c r="B115" s="197"/>
      <c r="C115" s="197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7"/>
      <c r="O115" s="197"/>
      <c r="P115" s="197"/>
      <c r="Q115" s="197"/>
      <c r="R115" s="197"/>
      <c r="S115" s="197"/>
      <c r="T115" s="197"/>
      <c r="U115" s="197"/>
      <c r="V115" s="197"/>
      <c r="W115" s="197"/>
      <c r="X115" s="197"/>
      <c r="Y115" s="197"/>
    </row>
    <row r="116">
      <c r="A116" s="197"/>
      <c r="B116" s="197"/>
      <c r="C116" s="197"/>
      <c r="D116" s="197"/>
      <c r="E116" s="197"/>
      <c r="F116" s="197"/>
      <c r="G116" s="197"/>
      <c r="H116" s="197"/>
      <c r="I116" s="197"/>
      <c r="J116" s="197"/>
      <c r="K116" s="197"/>
      <c r="L116" s="197"/>
      <c r="M116" s="197"/>
      <c r="N116" s="197"/>
      <c r="O116" s="197"/>
      <c r="P116" s="197"/>
      <c r="Q116" s="197"/>
      <c r="R116" s="197"/>
      <c r="S116" s="197"/>
      <c r="T116" s="197"/>
      <c r="U116" s="197"/>
      <c r="V116" s="197"/>
      <c r="W116" s="197"/>
      <c r="X116" s="197"/>
      <c r="Y116" s="197"/>
    </row>
    <row r="117">
      <c r="A117" s="197"/>
      <c r="B117" s="197"/>
      <c r="C117" s="197"/>
      <c r="D117" s="197"/>
      <c r="E117" s="197"/>
      <c r="F117" s="197"/>
      <c r="G117" s="197"/>
      <c r="H117" s="197"/>
      <c r="I117" s="197"/>
      <c r="J117" s="197"/>
      <c r="K117" s="197"/>
      <c r="L117" s="197"/>
      <c r="M117" s="197"/>
      <c r="N117" s="197"/>
      <c r="O117" s="197"/>
      <c r="P117" s="197"/>
      <c r="Q117" s="197"/>
      <c r="R117" s="197"/>
      <c r="S117" s="197"/>
      <c r="T117" s="197"/>
      <c r="U117" s="197"/>
      <c r="V117" s="197"/>
      <c r="W117" s="197"/>
      <c r="X117" s="197"/>
      <c r="Y117" s="197"/>
    </row>
    <row r="118">
      <c r="A118" s="197"/>
      <c r="B118" s="197"/>
      <c r="C118" s="197"/>
      <c r="D118" s="197"/>
      <c r="E118" s="197"/>
      <c r="F118" s="197"/>
      <c r="G118" s="197"/>
      <c r="H118" s="197"/>
      <c r="I118" s="197"/>
      <c r="J118" s="197"/>
      <c r="K118" s="197"/>
      <c r="L118" s="197"/>
      <c r="M118" s="197"/>
      <c r="N118" s="197"/>
      <c r="O118" s="197"/>
      <c r="P118" s="197"/>
      <c r="Q118" s="197"/>
      <c r="R118" s="197"/>
      <c r="S118" s="197"/>
      <c r="T118" s="197"/>
      <c r="U118" s="197"/>
      <c r="V118" s="197"/>
      <c r="W118" s="197"/>
      <c r="X118" s="197"/>
      <c r="Y118" s="197"/>
    </row>
    <row r="119">
      <c r="A119" s="197"/>
      <c r="B119" s="197"/>
      <c r="C119" s="197"/>
      <c r="D119" s="197"/>
      <c r="E119" s="197"/>
      <c r="F119" s="197"/>
      <c r="G119" s="197"/>
      <c r="H119" s="197"/>
      <c r="I119" s="197"/>
      <c r="J119" s="197"/>
      <c r="K119" s="197"/>
      <c r="L119" s="197"/>
      <c r="M119" s="197"/>
      <c r="N119" s="197"/>
      <c r="O119" s="197"/>
      <c r="P119" s="197"/>
      <c r="Q119" s="197"/>
      <c r="R119" s="197"/>
      <c r="S119" s="197"/>
      <c r="T119" s="197"/>
      <c r="U119" s="197"/>
      <c r="V119" s="197"/>
      <c r="W119" s="197"/>
      <c r="X119" s="197"/>
      <c r="Y119" s="197"/>
    </row>
    <row r="120">
      <c r="A120" s="197"/>
      <c r="B120" s="197"/>
      <c r="C120" s="197"/>
      <c r="D120" s="197"/>
      <c r="E120" s="197"/>
      <c r="F120" s="197"/>
      <c r="G120" s="197"/>
      <c r="H120" s="197"/>
      <c r="I120" s="197"/>
      <c r="J120" s="197"/>
      <c r="K120" s="197"/>
      <c r="L120" s="197"/>
      <c r="M120" s="197"/>
      <c r="N120" s="197"/>
      <c r="O120" s="197"/>
      <c r="P120" s="197"/>
      <c r="Q120" s="197"/>
      <c r="R120" s="197"/>
      <c r="S120" s="197"/>
      <c r="T120" s="197"/>
      <c r="U120" s="197"/>
      <c r="V120" s="197"/>
      <c r="W120" s="197"/>
      <c r="X120" s="197"/>
      <c r="Y120" s="197"/>
    </row>
    <row r="121">
      <c r="A121" s="197"/>
      <c r="B121" s="197"/>
      <c r="C121" s="197"/>
      <c r="D121" s="197"/>
      <c r="E121" s="197"/>
      <c r="F121" s="197"/>
      <c r="G121" s="197"/>
      <c r="H121" s="197"/>
      <c r="I121" s="197"/>
      <c r="J121" s="197"/>
      <c r="K121" s="197"/>
      <c r="L121" s="197"/>
      <c r="M121" s="197"/>
      <c r="N121" s="197"/>
      <c r="O121" s="197"/>
      <c r="P121" s="197"/>
      <c r="Q121" s="197"/>
      <c r="R121" s="197"/>
      <c r="S121" s="197"/>
      <c r="T121" s="197"/>
      <c r="U121" s="197"/>
      <c r="V121" s="197"/>
      <c r="W121" s="197"/>
      <c r="X121" s="197"/>
      <c r="Y121" s="197"/>
    </row>
    <row r="122">
      <c r="A122" s="197"/>
      <c r="B122" s="197"/>
      <c r="C122" s="197"/>
      <c r="D122" s="197"/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</row>
    <row r="123">
      <c r="A123" s="197"/>
      <c r="B123" s="197"/>
      <c r="C123" s="197"/>
      <c r="D123" s="197"/>
      <c r="E123" s="197"/>
      <c r="F123" s="197"/>
      <c r="G123" s="197"/>
      <c r="H123" s="197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197"/>
      <c r="T123" s="197"/>
      <c r="U123" s="197"/>
      <c r="V123" s="197"/>
      <c r="W123" s="197"/>
      <c r="X123" s="197"/>
      <c r="Y123" s="197"/>
    </row>
    <row r="124">
      <c r="A124" s="197"/>
      <c r="B124" s="197"/>
      <c r="C124" s="197"/>
      <c r="D124" s="197"/>
      <c r="E124" s="197"/>
      <c r="F124" s="197"/>
      <c r="G124" s="197"/>
      <c r="H124" s="197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197"/>
      <c r="T124" s="197"/>
      <c r="U124" s="197"/>
      <c r="V124" s="197"/>
      <c r="W124" s="197"/>
      <c r="X124" s="197"/>
      <c r="Y124" s="197"/>
    </row>
    <row r="125">
      <c r="A125" s="197"/>
      <c r="B125" s="197"/>
      <c r="C125" s="197"/>
      <c r="D125" s="197"/>
      <c r="E125" s="197"/>
      <c r="F125" s="197"/>
      <c r="G125" s="197"/>
      <c r="H125" s="197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197"/>
      <c r="T125" s="197"/>
      <c r="U125" s="197"/>
      <c r="V125" s="197"/>
      <c r="W125" s="197"/>
      <c r="X125" s="197"/>
      <c r="Y125" s="197"/>
    </row>
    <row r="126">
      <c r="A126" s="197"/>
      <c r="B126" s="197"/>
      <c r="C126" s="197"/>
      <c r="D126" s="197"/>
      <c r="E126" s="197"/>
      <c r="F126" s="197"/>
      <c r="G126" s="197"/>
      <c r="H126" s="197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197"/>
      <c r="T126" s="197"/>
      <c r="U126" s="197"/>
      <c r="V126" s="197"/>
      <c r="W126" s="197"/>
      <c r="X126" s="197"/>
      <c r="Y126" s="197"/>
    </row>
    <row r="127">
      <c r="A127" s="197"/>
      <c r="B127" s="197"/>
      <c r="C127" s="197"/>
      <c r="D127" s="197"/>
      <c r="E127" s="197"/>
      <c r="F127" s="197"/>
      <c r="G127" s="197"/>
      <c r="H127" s="197"/>
      <c r="I127" s="197"/>
      <c r="J127" s="197"/>
      <c r="K127" s="197"/>
      <c r="L127" s="197"/>
      <c r="M127" s="197"/>
      <c r="N127" s="197"/>
      <c r="O127" s="197"/>
      <c r="P127" s="197"/>
      <c r="Q127" s="197"/>
      <c r="R127" s="197"/>
      <c r="S127" s="197"/>
      <c r="T127" s="197"/>
      <c r="U127" s="197"/>
      <c r="V127" s="197"/>
      <c r="W127" s="197"/>
      <c r="X127" s="197"/>
      <c r="Y127" s="197"/>
    </row>
    <row r="128">
      <c r="A128" s="197"/>
      <c r="B128" s="197"/>
      <c r="C128" s="197"/>
      <c r="D128" s="197"/>
      <c r="E128" s="197"/>
      <c r="F128" s="197"/>
      <c r="G128" s="197"/>
      <c r="H128" s="197"/>
      <c r="I128" s="197"/>
      <c r="J128" s="197"/>
      <c r="K128" s="197"/>
      <c r="L128" s="197"/>
      <c r="M128" s="197"/>
      <c r="N128" s="197"/>
      <c r="O128" s="197"/>
      <c r="P128" s="197"/>
      <c r="Q128" s="197"/>
      <c r="R128" s="197"/>
      <c r="S128" s="197"/>
      <c r="T128" s="197"/>
      <c r="U128" s="197"/>
      <c r="V128" s="197"/>
      <c r="W128" s="197"/>
      <c r="X128" s="197"/>
      <c r="Y128" s="197"/>
    </row>
    <row r="129">
      <c r="A129" s="197"/>
      <c r="B129" s="197"/>
      <c r="C129" s="197"/>
      <c r="D129" s="197"/>
      <c r="E129" s="197"/>
      <c r="F129" s="197"/>
      <c r="G129" s="197"/>
      <c r="H129" s="197"/>
      <c r="I129" s="197"/>
      <c r="J129" s="197"/>
      <c r="K129" s="197"/>
      <c r="L129" s="197"/>
      <c r="M129" s="197"/>
      <c r="N129" s="197"/>
      <c r="O129" s="197"/>
      <c r="P129" s="197"/>
      <c r="Q129" s="197"/>
      <c r="R129" s="197"/>
      <c r="S129" s="197"/>
      <c r="T129" s="197"/>
      <c r="U129" s="197"/>
      <c r="V129" s="197"/>
      <c r="W129" s="197"/>
      <c r="X129" s="197"/>
      <c r="Y129" s="197"/>
    </row>
    <row r="130">
      <c r="A130" s="197"/>
      <c r="B130" s="197"/>
      <c r="C130" s="197"/>
      <c r="D130" s="197"/>
      <c r="E130" s="197"/>
      <c r="F130" s="197"/>
      <c r="G130" s="197"/>
      <c r="H130" s="197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197"/>
      <c r="T130" s="197"/>
      <c r="U130" s="197"/>
      <c r="V130" s="197"/>
      <c r="W130" s="197"/>
      <c r="X130" s="197"/>
      <c r="Y130" s="197"/>
    </row>
    <row r="131">
      <c r="A131" s="197"/>
      <c r="B131" s="197"/>
      <c r="C131" s="197"/>
      <c r="D131" s="197"/>
      <c r="E131" s="197"/>
      <c r="F131" s="197"/>
      <c r="G131" s="197"/>
      <c r="H131" s="197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197"/>
      <c r="T131" s="197"/>
      <c r="U131" s="197"/>
      <c r="V131" s="197"/>
      <c r="W131" s="197"/>
      <c r="X131" s="197"/>
      <c r="Y131" s="197"/>
    </row>
    <row r="132">
      <c r="A132" s="197"/>
      <c r="B132" s="197"/>
      <c r="C132" s="197"/>
      <c r="D132" s="197"/>
      <c r="E132" s="197"/>
      <c r="F132" s="197"/>
      <c r="G132" s="197"/>
      <c r="H132" s="197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197"/>
      <c r="T132" s="197"/>
      <c r="U132" s="197"/>
      <c r="V132" s="197"/>
      <c r="W132" s="197"/>
      <c r="X132" s="197"/>
      <c r="Y132" s="197"/>
    </row>
    <row r="133">
      <c r="A133" s="197"/>
      <c r="B133" s="197"/>
      <c r="C133" s="197"/>
      <c r="D133" s="197"/>
      <c r="E133" s="197"/>
      <c r="F133" s="197"/>
      <c r="G133" s="197"/>
      <c r="H133" s="197"/>
      <c r="I133" s="197"/>
      <c r="J133" s="197"/>
      <c r="K133" s="197"/>
      <c r="L133" s="197"/>
      <c r="M133" s="197"/>
      <c r="N133" s="197"/>
      <c r="O133" s="197"/>
      <c r="P133" s="197"/>
      <c r="Q133" s="197"/>
      <c r="R133" s="197"/>
      <c r="S133" s="197"/>
      <c r="T133" s="197"/>
      <c r="U133" s="197"/>
      <c r="V133" s="197"/>
      <c r="W133" s="197"/>
      <c r="X133" s="197"/>
      <c r="Y133" s="197"/>
    </row>
    <row r="134">
      <c r="A134" s="197"/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7"/>
      <c r="O134" s="197"/>
      <c r="P134" s="197"/>
      <c r="Q134" s="197"/>
      <c r="R134" s="197"/>
      <c r="S134" s="197"/>
      <c r="T134" s="197"/>
      <c r="U134" s="197"/>
      <c r="V134" s="197"/>
      <c r="W134" s="197"/>
      <c r="X134" s="197"/>
      <c r="Y134" s="197"/>
    </row>
    <row r="135">
      <c r="A135" s="197"/>
      <c r="B135" s="197"/>
      <c r="C135" s="197"/>
      <c r="D135" s="197"/>
      <c r="E135" s="197"/>
      <c r="F135" s="197"/>
      <c r="G135" s="197"/>
      <c r="H135" s="197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197"/>
      <c r="T135" s="197"/>
      <c r="U135" s="197"/>
      <c r="V135" s="197"/>
      <c r="W135" s="197"/>
      <c r="X135" s="197"/>
      <c r="Y135" s="197"/>
    </row>
    <row r="136">
      <c r="A136" s="197"/>
      <c r="B136" s="197"/>
      <c r="C136" s="197"/>
      <c r="D136" s="197"/>
      <c r="E136" s="197"/>
      <c r="F136" s="197"/>
      <c r="G136" s="197"/>
      <c r="H136" s="197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197"/>
      <c r="T136" s="197"/>
      <c r="U136" s="197"/>
      <c r="V136" s="197"/>
      <c r="W136" s="197"/>
      <c r="X136" s="197"/>
      <c r="Y136" s="197"/>
    </row>
    <row r="137">
      <c r="A137" s="197"/>
      <c r="B137" s="197"/>
      <c r="C137" s="197"/>
      <c r="D137" s="197"/>
      <c r="E137" s="197"/>
      <c r="F137" s="197"/>
      <c r="G137" s="197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197"/>
      <c r="T137" s="197"/>
      <c r="U137" s="197"/>
      <c r="V137" s="197"/>
      <c r="W137" s="197"/>
      <c r="X137" s="197"/>
      <c r="Y137" s="197"/>
    </row>
    <row r="138">
      <c r="A138" s="197"/>
      <c r="B138" s="197"/>
      <c r="C138" s="197"/>
      <c r="D138" s="197"/>
      <c r="E138" s="197"/>
      <c r="F138" s="197"/>
      <c r="G138" s="197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197"/>
      <c r="T138" s="197"/>
      <c r="U138" s="197"/>
      <c r="V138" s="197"/>
      <c r="W138" s="197"/>
      <c r="X138" s="197"/>
      <c r="Y138" s="197"/>
    </row>
    <row r="139">
      <c r="A139" s="197"/>
      <c r="B139" s="197"/>
      <c r="C139" s="197"/>
      <c r="D139" s="197"/>
      <c r="E139" s="197"/>
      <c r="F139" s="197"/>
      <c r="G139" s="197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197"/>
      <c r="T139" s="197"/>
      <c r="U139" s="197"/>
      <c r="V139" s="197"/>
      <c r="W139" s="197"/>
      <c r="X139" s="197"/>
      <c r="Y139" s="197"/>
    </row>
    <row r="140">
      <c r="A140" s="197"/>
      <c r="B140" s="197"/>
      <c r="C140" s="197"/>
      <c r="D140" s="197"/>
      <c r="E140" s="197"/>
      <c r="F140" s="197"/>
      <c r="G140" s="197"/>
      <c r="H140" s="197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197"/>
      <c r="T140" s="197"/>
      <c r="U140" s="197"/>
      <c r="V140" s="197"/>
      <c r="W140" s="197"/>
      <c r="X140" s="197"/>
      <c r="Y140" s="197"/>
    </row>
    <row r="141">
      <c r="A141" s="197"/>
      <c r="B141" s="197"/>
      <c r="C141" s="197"/>
      <c r="D141" s="197"/>
      <c r="E141" s="197"/>
      <c r="F141" s="197"/>
      <c r="G141" s="197"/>
      <c r="H141" s="197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197"/>
      <c r="T141" s="197"/>
      <c r="U141" s="197"/>
      <c r="V141" s="197"/>
      <c r="W141" s="197"/>
      <c r="X141" s="197"/>
      <c r="Y141" s="197"/>
    </row>
    <row r="142">
      <c r="A142" s="197"/>
      <c r="B142" s="197"/>
      <c r="C142" s="197"/>
      <c r="D142" s="197"/>
      <c r="E142" s="197"/>
      <c r="F142" s="197"/>
      <c r="G142" s="197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197"/>
      <c r="T142" s="197"/>
      <c r="U142" s="197"/>
      <c r="V142" s="197"/>
      <c r="W142" s="197"/>
      <c r="X142" s="197"/>
      <c r="Y142" s="197"/>
    </row>
    <row r="143">
      <c r="A143" s="197"/>
      <c r="B143" s="197"/>
      <c r="C143" s="197"/>
      <c r="D143" s="197"/>
      <c r="E143" s="197"/>
      <c r="F143" s="197"/>
      <c r="G143" s="197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197"/>
      <c r="T143" s="197"/>
      <c r="U143" s="197"/>
      <c r="V143" s="197"/>
      <c r="W143" s="197"/>
      <c r="X143" s="197"/>
      <c r="Y143" s="197"/>
    </row>
    <row r="144">
      <c r="A144" s="197"/>
      <c r="B144" s="197"/>
      <c r="C144" s="197"/>
      <c r="D144" s="197"/>
      <c r="E144" s="197"/>
      <c r="F144" s="197"/>
      <c r="G144" s="197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197"/>
      <c r="T144" s="197"/>
      <c r="U144" s="197"/>
      <c r="V144" s="197"/>
      <c r="W144" s="197"/>
      <c r="X144" s="197"/>
      <c r="Y144" s="197"/>
    </row>
    <row r="145">
      <c r="A145" s="197"/>
      <c r="B145" s="197"/>
      <c r="C145" s="197"/>
      <c r="D145" s="197"/>
      <c r="E145" s="197"/>
      <c r="F145" s="197"/>
      <c r="G145" s="197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197"/>
      <c r="T145" s="197"/>
      <c r="U145" s="197"/>
      <c r="V145" s="197"/>
      <c r="W145" s="197"/>
      <c r="X145" s="197"/>
      <c r="Y145" s="197"/>
    </row>
    <row r="146">
      <c r="A146" s="197"/>
      <c r="B146" s="197"/>
      <c r="C146" s="197"/>
      <c r="D146" s="197"/>
      <c r="E146" s="197"/>
      <c r="F146" s="197"/>
      <c r="G146" s="197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</row>
    <row r="147">
      <c r="A147" s="197"/>
      <c r="B147" s="197"/>
      <c r="C147" s="197"/>
      <c r="D147" s="197"/>
      <c r="E147" s="197"/>
      <c r="F147" s="197"/>
      <c r="G147" s="197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197"/>
      <c r="T147" s="197"/>
      <c r="U147" s="197"/>
      <c r="V147" s="197"/>
      <c r="W147" s="197"/>
      <c r="X147" s="197"/>
      <c r="Y147" s="197"/>
    </row>
    <row r="148">
      <c r="A148" s="197"/>
      <c r="B148" s="197"/>
      <c r="C148" s="197"/>
      <c r="D148" s="197"/>
      <c r="E148" s="197"/>
      <c r="F148" s="197"/>
      <c r="G148" s="197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197"/>
      <c r="T148" s="197"/>
      <c r="U148" s="197"/>
      <c r="V148" s="197"/>
      <c r="W148" s="197"/>
      <c r="X148" s="197"/>
      <c r="Y148" s="197"/>
    </row>
    <row r="149">
      <c r="A149" s="197"/>
      <c r="B149" s="197"/>
      <c r="C149" s="197"/>
      <c r="D149" s="197"/>
      <c r="E149" s="197"/>
      <c r="F149" s="197"/>
      <c r="G149" s="197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197"/>
      <c r="T149" s="197"/>
      <c r="U149" s="197"/>
      <c r="V149" s="197"/>
      <c r="W149" s="197"/>
      <c r="X149" s="197"/>
      <c r="Y149" s="197"/>
    </row>
    <row r="150">
      <c r="A150" s="197"/>
      <c r="B150" s="197"/>
      <c r="C150" s="197"/>
      <c r="D150" s="197"/>
      <c r="E150" s="197"/>
      <c r="F150" s="197"/>
      <c r="G150" s="197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197"/>
      <c r="T150" s="197"/>
      <c r="U150" s="197"/>
      <c r="V150" s="197"/>
      <c r="W150" s="197"/>
      <c r="X150" s="197"/>
      <c r="Y150" s="197"/>
    </row>
    <row r="151">
      <c r="A151" s="197"/>
      <c r="B151" s="197"/>
      <c r="C151" s="197"/>
      <c r="D151" s="197"/>
      <c r="E151" s="197"/>
      <c r="F151" s="197"/>
      <c r="G151" s="197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197"/>
      <c r="T151" s="197"/>
      <c r="U151" s="197"/>
      <c r="V151" s="197"/>
      <c r="W151" s="197"/>
      <c r="X151" s="197"/>
      <c r="Y151" s="197"/>
    </row>
    <row r="152">
      <c r="A152" s="197"/>
      <c r="B152" s="197"/>
      <c r="C152" s="197"/>
      <c r="D152" s="197"/>
      <c r="E152" s="197"/>
      <c r="F152" s="197"/>
      <c r="G152" s="197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197"/>
      <c r="T152" s="197"/>
      <c r="U152" s="197"/>
      <c r="V152" s="197"/>
      <c r="W152" s="197"/>
      <c r="X152" s="197"/>
      <c r="Y152" s="197"/>
    </row>
    <row r="153">
      <c r="A153" s="197"/>
      <c r="B153" s="197"/>
      <c r="C153" s="197"/>
      <c r="D153" s="197"/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</row>
    <row r="154">
      <c r="A154" s="197"/>
      <c r="B154" s="197"/>
      <c r="C154" s="197"/>
      <c r="D154" s="197"/>
      <c r="E154" s="197"/>
      <c r="F154" s="197"/>
      <c r="G154" s="197"/>
      <c r="H154" s="197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</row>
    <row r="155">
      <c r="A155" s="197"/>
      <c r="B155" s="197"/>
      <c r="C155" s="197"/>
      <c r="D155" s="197"/>
      <c r="E155" s="197"/>
      <c r="F155" s="197"/>
      <c r="G155" s="197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197"/>
      <c r="T155" s="197"/>
      <c r="U155" s="197"/>
      <c r="V155" s="197"/>
      <c r="W155" s="197"/>
      <c r="X155" s="197"/>
      <c r="Y155" s="197"/>
    </row>
    <row r="156">
      <c r="A156" s="197"/>
      <c r="B156" s="197"/>
      <c r="C156" s="197"/>
      <c r="D156" s="197"/>
      <c r="E156" s="197"/>
      <c r="F156" s="197"/>
      <c r="G156" s="197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197"/>
      <c r="T156" s="197"/>
      <c r="U156" s="197"/>
      <c r="V156" s="197"/>
      <c r="W156" s="197"/>
      <c r="X156" s="197"/>
      <c r="Y156" s="197"/>
    </row>
    <row r="157">
      <c r="A157" s="197"/>
      <c r="B157" s="197"/>
      <c r="C157" s="197"/>
      <c r="D157" s="197"/>
      <c r="E157" s="197"/>
      <c r="F157" s="197"/>
      <c r="G157" s="197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197"/>
      <c r="T157" s="197"/>
      <c r="U157" s="197"/>
      <c r="V157" s="197"/>
      <c r="W157" s="197"/>
      <c r="X157" s="197"/>
      <c r="Y157" s="197"/>
    </row>
    <row r="158">
      <c r="A158" s="197"/>
      <c r="B158" s="197"/>
      <c r="C158" s="197"/>
      <c r="D158" s="197"/>
      <c r="E158" s="197"/>
      <c r="F158" s="197"/>
      <c r="G158" s="197"/>
      <c r="H158" s="197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197"/>
      <c r="T158" s="197"/>
      <c r="U158" s="197"/>
      <c r="V158" s="197"/>
      <c r="W158" s="197"/>
      <c r="X158" s="197"/>
      <c r="Y158" s="197"/>
    </row>
    <row r="159">
      <c r="A159" s="197"/>
      <c r="B159" s="197"/>
      <c r="C159" s="197"/>
      <c r="D159" s="197"/>
      <c r="E159" s="197"/>
      <c r="F159" s="197"/>
      <c r="G159" s="197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197"/>
      <c r="T159" s="197"/>
      <c r="U159" s="197"/>
      <c r="V159" s="197"/>
      <c r="W159" s="197"/>
      <c r="X159" s="197"/>
      <c r="Y159" s="197"/>
    </row>
    <row r="160">
      <c r="A160" s="197"/>
      <c r="B160" s="197"/>
      <c r="C160" s="197"/>
      <c r="D160" s="197"/>
      <c r="E160" s="197"/>
      <c r="F160" s="197"/>
      <c r="G160" s="197"/>
      <c r="H160" s="197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197"/>
      <c r="T160" s="197"/>
      <c r="U160" s="197"/>
      <c r="V160" s="197"/>
      <c r="W160" s="197"/>
      <c r="X160" s="197"/>
      <c r="Y160" s="197"/>
    </row>
    <row r="161">
      <c r="A161" s="197"/>
      <c r="B161" s="197"/>
      <c r="C161" s="197"/>
      <c r="D161" s="197"/>
      <c r="E161" s="197"/>
      <c r="F161" s="197"/>
      <c r="G161" s="197"/>
      <c r="H161" s="197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197"/>
      <c r="T161" s="197"/>
      <c r="U161" s="197"/>
      <c r="V161" s="197"/>
      <c r="W161" s="197"/>
      <c r="X161" s="197"/>
      <c r="Y161" s="197"/>
    </row>
    <row r="162">
      <c r="A162" s="197"/>
      <c r="B162" s="197"/>
      <c r="C162" s="197"/>
      <c r="D162" s="197"/>
      <c r="E162" s="197"/>
      <c r="F162" s="197"/>
      <c r="G162" s="197"/>
      <c r="H162" s="197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</row>
    <row r="163">
      <c r="A163" s="197"/>
      <c r="B163" s="197"/>
      <c r="C163" s="197"/>
      <c r="D163" s="197"/>
      <c r="E163" s="197"/>
      <c r="F163" s="197"/>
      <c r="G163" s="197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197"/>
      <c r="T163" s="197"/>
      <c r="U163" s="197"/>
      <c r="V163" s="197"/>
      <c r="W163" s="197"/>
      <c r="X163" s="197"/>
      <c r="Y163" s="197"/>
    </row>
    <row r="164">
      <c r="A164" s="197"/>
      <c r="B164" s="197"/>
      <c r="C164" s="197"/>
      <c r="D164" s="197"/>
      <c r="E164" s="197"/>
      <c r="F164" s="197"/>
      <c r="G164" s="197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197"/>
      <c r="T164" s="197"/>
      <c r="U164" s="197"/>
      <c r="V164" s="197"/>
      <c r="W164" s="197"/>
      <c r="X164" s="197"/>
      <c r="Y164" s="197"/>
    </row>
    <row r="165">
      <c r="A165" s="197"/>
      <c r="B165" s="197"/>
      <c r="C165" s="197"/>
      <c r="D165" s="197"/>
      <c r="E165" s="197"/>
      <c r="F165" s="197"/>
      <c r="G165" s="197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197"/>
      <c r="T165" s="197"/>
      <c r="U165" s="197"/>
      <c r="V165" s="197"/>
      <c r="W165" s="197"/>
      <c r="X165" s="197"/>
      <c r="Y165" s="197"/>
    </row>
    <row r="166">
      <c r="A166" s="197"/>
      <c r="B166" s="197"/>
      <c r="C166" s="197"/>
      <c r="D166" s="197"/>
      <c r="E166" s="197"/>
      <c r="F166" s="197"/>
      <c r="G166" s="197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197"/>
      <c r="T166" s="197"/>
      <c r="U166" s="197"/>
      <c r="V166" s="197"/>
      <c r="W166" s="197"/>
      <c r="X166" s="197"/>
      <c r="Y166" s="197"/>
    </row>
    <row r="167">
      <c r="A167" s="197"/>
      <c r="B167" s="197"/>
      <c r="C167" s="197"/>
      <c r="D167" s="197"/>
      <c r="E167" s="197"/>
      <c r="F167" s="197"/>
      <c r="G167" s="197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197"/>
      <c r="T167" s="197"/>
      <c r="U167" s="197"/>
      <c r="V167" s="197"/>
      <c r="W167" s="197"/>
      <c r="X167" s="197"/>
      <c r="Y167" s="197"/>
    </row>
    <row r="168">
      <c r="A168" s="197"/>
      <c r="B168" s="197"/>
      <c r="C168" s="197"/>
      <c r="D168" s="197"/>
      <c r="E168" s="197"/>
      <c r="F168" s="197"/>
      <c r="G168" s="197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197"/>
      <c r="T168" s="197"/>
      <c r="U168" s="197"/>
      <c r="V168" s="197"/>
      <c r="W168" s="197"/>
      <c r="X168" s="197"/>
      <c r="Y168" s="197"/>
    </row>
    <row r="169">
      <c r="A169" s="197"/>
      <c r="B169" s="197"/>
      <c r="C169" s="197"/>
      <c r="D169" s="197"/>
      <c r="E169" s="197"/>
      <c r="F169" s="197"/>
      <c r="G169" s="197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197"/>
      <c r="T169" s="197"/>
      <c r="U169" s="197"/>
      <c r="V169" s="197"/>
      <c r="W169" s="197"/>
      <c r="X169" s="197"/>
      <c r="Y169" s="197"/>
    </row>
    <row r="170">
      <c r="A170" s="197"/>
      <c r="B170" s="197"/>
      <c r="C170" s="197"/>
      <c r="D170" s="197"/>
      <c r="E170" s="197"/>
      <c r="F170" s="197"/>
      <c r="G170" s="197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197"/>
      <c r="T170" s="197"/>
      <c r="U170" s="197"/>
      <c r="V170" s="197"/>
      <c r="W170" s="197"/>
      <c r="X170" s="197"/>
      <c r="Y170" s="197"/>
    </row>
    <row r="171">
      <c r="A171" s="197"/>
      <c r="B171" s="197"/>
      <c r="C171" s="197"/>
      <c r="D171" s="197"/>
      <c r="E171" s="197"/>
      <c r="F171" s="197"/>
      <c r="G171" s="197"/>
      <c r="H171" s="197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197"/>
      <c r="T171" s="197"/>
      <c r="U171" s="197"/>
      <c r="V171" s="197"/>
      <c r="W171" s="197"/>
      <c r="X171" s="197"/>
      <c r="Y171" s="197"/>
    </row>
    <row r="172">
      <c r="A172" s="197"/>
      <c r="B172" s="197"/>
      <c r="C172" s="197"/>
      <c r="D172" s="197"/>
      <c r="E172" s="197"/>
      <c r="F172" s="197"/>
      <c r="G172" s="197"/>
      <c r="H172" s="197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197"/>
      <c r="T172" s="197"/>
      <c r="U172" s="197"/>
      <c r="V172" s="197"/>
      <c r="W172" s="197"/>
      <c r="X172" s="197"/>
      <c r="Y172" s="197"/>
    </row>
    <row r="173">
      <c r="A173" s="197"/>
      <c r="B173" s="197"/>
      <c r="C173" s="197"/>
      <c r="D173" s="197"/>
      <c r="E173" s="197"/>
      <c r="F173" s="197"/>
      <c r="G173" s="197"/>
      <c r="H173" s="197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197"/>
      <c r="T173" s="197"/>
      <c r="U173" s="197"/>
      <c r="V173" s="197"/>
      <c r="W173" s="197"/>
      <c r="X173" s="197"/>
      <c r="Y173" s="197"/>
    </row>
    <row r="174">
      <c r="A174" s="197"/>
      <c r="B174" s="197"/>
      <c r="C174" s="197"/>
      <c r="D174" s="197"/>
      <c r="E174" s="197"/>
      <c r="F174" s="197"/>
      <c r="G174" s="197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197"/>
      <c r="T174" s="197"/>
      <c r="U174" s="197"/>
      <c r="V174" s="197"/>
      <c r="W174" s="197"/>
      <c r="X174" s="197"/>
      <c r="Y174" s="197"/>
    </row>
    <row r="175">
      <c r="A175" s="197"/>
      <c r="B175" s="197"/>
      <c r="C175" s="197"/>
      <c r="D175" s="197"/>
      <c r="E175" s="197"/>
      <c r="F175" s="197"/>
      <c r="G175" s="197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197"/>
      <c r="T175" s="197"/>
      <c r="U175" s="197"/>
      <c r="V175" s="197"/>
      <c r="W175" s="197"/>
      <c r="X175" s="197"/>
      <c r="Y175" s="197"/>
    </row>
    <row r="176">
      <c r="A176" s="197"/>
      <c r="B176" s="197"/>
      <c r="C176" s="197"/>
      <c r="D176" s="197"/>
      <c r="E176" s="197"/>
      <c r="F176" s="197"/>
      <c r="G176" s="197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197"/>
      <c r="T176" s="197"/>
      <c r="U176" s="197"/>
      <c r="V176" s="197"/>
      <c r="W176" s="197"/>
      <c r="X176" s="197"/>
      <c r="Y176" s="197"/>
    </row>
    <row r="177">
      <c r="A177" s="197"/>
      <c r="B177" s="197"/>
      <c r="C177" s="197"/>
      <c r="D177" s="197"/>
      <c r="E177" s="197"/>
      <c r="F177" s="197"/>
      <c r="G177" s="197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197"/>
      <c r="T177" s="197"/>
      <c r="U177" s="197"/>
      <c r="V177" s="197"/>
      <c r="W177" s="197"/>
      <c r="X177" s="197"/>
      <c r="Y177" s="197"/>
    </row>
    <row r="178">
      <c r="A178" s="197"/>
      <c r="B178" s="197"/>
      <c r="C178" s="197"/>
      <c r="D178" s="197"/>
      <c r="E178" s="197"/>
      <c r="F178" s="197"/>
      <c r="G178" s="197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197"/>
      <c r="T178" s="197"/>
      <c r="U178" s="197"/>
      <c r="V178" s="197"/>
      <c r="W178" s="197"/>
      <c r="X178" s="197"/>
      <c r="Y178" s="197"/>
    </row>
    <row r="179">
      <c r="A179" s="197"/>
      <c r="B179" s="197"/>
      <c r="C179" s="197"/>
      <c r="D179" s="197"/>
      <c r="E179" s="197"/>
      <c r="F179" s="197"/>
      <c r="G179" s="197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197"/>
      <c r="T179" s="197"/>
      <c r="U179" s="197"/>
      <c r="V179" s="197"/>
      <c r="W179" s="197"/>
      <c r="X179" s="197"/>
      <c r="Y179" s="197"/>
    </row>
    <row r="180">
      <c r="A180" s="197"/>
      <c r="B180" s="197"/>
      <c r="C180" s="197"/>
      <c r="D180" s="197"/>
      <c r="E180" s="197"/>
      <c r="F180" s="197"/>
      <c r="G180" s="197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197"/>
      <c r="T180" s="197"/>
      <c r="U180" s="197"/>
      <c r="V180" s="197"/>
      <c r="W180" s="197"/>
      <c r="X180" s="197"/>
      <c r="Y180" s="197"/>
    </row>
    <row r="181">
      <c r="A181" s="197"/>
      <c r="B181" s="197"/>
      <c r="C181" s="197"/>
      <c r="D181" s="197"/>
      <c r="E181" s="197"/>
      <c r="F181" s="197"/>
      <c r="G181" s="197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197"/>
      <c r="T181" s="197"/>
      <c r="U181" s="197"/>
      <c r="V181" s="197"/>
      <c r="W181" s="197"/>
      <c r="X181" s="197"/>
      <c r="Y181" s="197"/>
    </row>
    <row r="182">
      <c r="A182" s="197"/>
      <c r="B182" s="197"/>
      <c r="C182" s="197"/>
      <c r="D182" s="197"/>
      <c r="E182" s="197"/>
      <c r="F182" s="197"/>
      <c r="G182" s="197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197"/>
      <c r="T182" s="197"/>
      <c r="U182" s="197"/>
      <c r="V182" s="197"/>
      <c r="W182" s="197"/>
      <c r="X182" s="197"/>
      <c r="Y182" s="197"/>
    </row>
    <row r="183">
      <c r="A183" s="197"/>
      <c r="B183" s="197"/>
      <c r="C183" s="197"/>
      <c r="D183" s="197"/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</row>
    <row r="184">
      <c r="A184" s="197"/>
      <c r="B184" s="197"/>
      <c r="C184" s="197"/>
      <c r="D184" s="197"/>
      <c r="E184" s="197"/>
      <c r="F184" s="197"/>
      <c r="G184" s="197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197"/>
      <c r="T184" s="197"/>
      <c r="U184" s="197"/>
      <c r="V184" s="197"/>
      <c r="W184" s="197"/>
      <c r="X184" s="197"/>
      <c r="Y184" s="197"/>
    </row>
    <row r="185">
      <c r="A185" s="197"/>
      <c r="B185" s="197"/>
      <c r="C185" s="197"/>
      <c r="D185" s="197"/>
      <c r="E185" s="197"/>
      <c r="F185" s="197"/>
      <c r="G185" s="197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197"/>
      <c r="T185" s="197"/>
      <c r="U185" s="197"/>
      <c r="V185" s="197"/>
      <c r="W185" s="197"/>
      <c r="X185" s="197"/>
      <c r="Y185" s="197"/>
    </row>
    <row r="186">
      <c r="A186" s="197"/>
      <c r="B186" s="197"/>
      <c r="C186" s="197"/>
      <c r="D186" s="197"/>
      <c r="E186" s="197"/>
      <c r="F186" s="197"/>
      <c r="G186" s="197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197"/>
      <c r="T186" s="197"/>
      <c r="U186" s="197"/>
      <c r="V186" s="197"/>
      <c r="W186" s="197"/>
      <c r="X186" s="197"/>
      <c r="Y186" s="197"/>
    </row>
    <row r="187">
      <c r="A187" s="197"/>
      <c r="B187" s="197"/>
      <c r="C187" s="197"/>
      <c r="D187" s="197"/>
      <c r="E187" s="197"/>
      <c r="F187" s="197"/>
      <c r="G187" s="197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197"/>
      <c r="T187" s="197"/>
      <c r="U187" s="197"/>
      <c r="V187" s="197"/>
      <c r="W187" s="197"/>
      <c r="X187" s="197"/>
      <c r="Y187" s="197"/>
    </row>
    <row r="188">
      <c r="A188" s="197"/>
      <c r="B188" s="197"/>
      <c r="C188" s="197"/>
      <c r="D188" s="197"/>
      <c r="E188" s="197"/>
      <c r="F188" s="197"/>
      <c r="G188" s="197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197"/>
      <c r="T188" s="197"/>
      <c r="U188" s="197"/>
      <c r="V188" s="197"/>
      <c r="W188" s="197"/>
      <c r="X188" s="197"/>
      <c r="Y188" s="197"/>
    </row>
    <row r="189">
      <c r="A189" s="197"/>
      <c r="B189" s="197"/>
      <c r="C189" s="197"/>
      <c r="D189" s="197"/>
      <c r="E189" s="197"/>
      <c r="F189" s="197"/>
      <c r="G189" s="197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197"/>
      <c r="T189" s="197"/>
      <c r="U189" s="197"/>
      <c r="V189" s="197"/>
      <c r="W189" s="197"/>
      <c r="X189" s="197"/>
      <c r="Y189" s="197"/>
    </row>
    <row r="190">
      <c r="A190" s="197"/>
      <c r="B190" s="197"/>
      <c r="C190" s="197"/>
      <c r="D190" s="197"/>
      <c r="E190" s="197"/>
      <c r="F190" s="197"/>
      <c r="G190" s="197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197"/>
      <c r="T190" s="197"/>
      <c r="U190" s="197"/>
      <c r="V190" s="197"/>
      <c r="W190" s="197"/>
      <c r="X190" s="197"/>
      <c r="Y190" s="197"/>
    </row>
    <row r="191">
      <c r="A191" s="197"/>
      <c r="B191" s="197"/>
      <c r="C191" s="197"/>
      <c r="D191" s="197"/>
      <c r="E191" s="197"/>
      <c r="F191" s="197"/>
      <c r="G191" s="197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197"/>
      <c r="T191" s="197"/>
      <c r="U191" s="197"/>
      <c r="V191" s="197"/>
      <c r="W191" s="197"/>
      <c r="X191" s="197"/>
      <c r="Y191" s="197"/>
    </row>
    <row r="192">
      <c r="A192" s="197"/>
      <c r="B192" s="197"/>
      <c r="C192" s="197"/>
      <c r="D192" s="197"/>
      <c r="E192" s="197"/>
      <c r="F192" s="197"/>
      <c r="G192" s="197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197"/>
      <c r="T192" s="197"/>
      <c r="U192" s="197"/>
      <c r="V192" s="197"/>
      <c r="W192" s="197"/>
      <c r="X192" s="197"/>
      <c r="Y192" s="197"/>
    </row>
    <row r="193">
      <c r="A193" s="197"/>
      <c r="B193" s="197"/>
      <c r="C193" s="197"/>
      <c r="D193" s="197"/>
      <c r="E193" s="197"/>
      <c r="F193" s="197"/>
      <c r="G193" s="197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197"/>
      <c r="T193" s="197"/>
      <c r="U193" s="197"/>
      <c r="V193" s="197"/>
      <c r="W193" s="197"/>
      <c r="X193" s="197"/>
      <c r="Y193" s="197"/>
    </row>
    <row r="194">
      <c r="A194" s="197"/>
      <c r="B194" s="197"/>
      <c r="C194" s="197"/>
      <c r="D194" s="197"/>
      <c r="E194" s="197"/>
      <c r="F194" s="197"/>
      <c r="G194" s="197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197"/>
      <c r="T194" s="197"/>
      <c r="U194" s="197"/>
      <c r="V194" s="197"/>
      <c r="W194" s="197"/>
      <c r="X194" s="197"/>
      <c r="Y194" s="197"/>
    </row>
    <row r="195">
      <c r="A195" s="197"/>
      <c r="B195" s="197"/>
      <c r="C195" s="197"/>
      <c r="D195" s="197"/>
      <c r="E195" s="197"/>
      <c r="F195" s="197"/>
      <c r="G195" s="197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197"/>
      <c r="T195" s="197"/>
      <c r="U195" s="197"/>
      <c r="V195" s="197"/>
      <c r="W195" s="197"/>
      <c r="X195" s="197"/>
      <c r="Y195" s="197"/>
    </row>
    <row r="196">
      <c r="A196" s="197"/>
      <c r="B196" s="197"/>
      <c r="C196" s="197"/>
      <c r="D196" s="197"/>
      <c r="E196" s="197"/>
      <c r="F196" s="197"/>
      <c r="G196" s="197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197"/>
      <c r="T196" s="197"/>
      <c r="U196" s="197"/>
      <c r="V196" s="197"/>
      <c r="W196" s="197"/>
      <c r="X196" s="197"/>
      <c r="Y196" s="197"/>
    </row>
    <row r="197">
      <c r="A197" s="197"/>
      <c r="B197" s="197"/>
      <c r="C197" s="197"/>
      <c r="D197" s="197"/>
      <c r="E197" s="197"/>
      <c r="F197" s="197"/>
      <c r="G197" s="197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197"/>
      <c r="T197" s="197"/>
      <c r="U197" s="197"/>
      <c r="V197" s="197"/>
      <c r="W197" s="197"/>
      <c r="X197" s="197"/>
      <c r="Y197" s="197"/>
    </row>
    <row r="198">
      <c r="A198" s="197"/>
      <c r="B198" s="197"/>
      <c r="C198" s="197"/>
      <c r="D198" s="197"/>
      <c r="E198" s="197"/>
      <c r="F198" s="197"/>
      <c r="G198" s="197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197"/>
      <c r="T198" s="197"/>
      <c r="U198" s="197"/>
      <c r="V198" s="197"/>
      <c r="W198" s="197"/>
      <c r="X198" s="197"/>
      <c r="Y198" s="197"/>
    </row>
    <row r="199">
      <c r="A199" s="197"/>
      <c r="B199" s="197"/>
      <c r="C199" s="197"/>
      <c r="D199" s="197"/>
      <c r="E199" s="197"/>
      <c r="F199" s="197"/>
      <c r="G199" s="197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197"/>
      <c r="T199" s="197"/>
      <c r="U199" s="197"/>
      <c r="V199" s="197"/>
      <c r="W199" s="197"/>
      <c r="X199" s="197"/>
      <c r="Y199" s="197"/>
    </row>
    <row r="200">
      <c r="A200" s="197"/>
      <c r="B200" s="197"/>
      <c r="C200" s="197"/>
      <c r="D200" s="197"/>
      <c r="E200" s="197"/>
      <c r="F200" s="197"/>
      <c r="G200" s="197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197"/>
      <c r="T200" s="197"/>
      <c r="U200" s="197"/>
      <c r="V200" s="197"/>
      <c r="W200" s="197"/>
      <c r="X200" s="197"/>
      <c r="Y200" s="197"/>
    </row>
    <row r="201">
      <c r="A201" s="197"/>
      <c r="B201" s="197"/>
      <c r="C201" s="197"/>
      <c r="D201" s="197"/>
      <c r="E201" s="197"/>
      <c r="F201" s="197"/>
      <c r="G201" s="197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197"/>
      <c r="T201" s="197"/>
      <c r="U201" s="197"/>
      <c r="V201" s="197"/>
      <c r="W201" s="197"/>
      <c r="X201" s="197"/>
      <c r="Y201" s="197"/>
    </row>
    <row r="202">
      <c r="A202" s="197"/>
      <c r="B202" s="197"/>
      <c r="C202" s="197"/>
      <c r="D202" s="197"/>
      <c r="E202" s="197"/>
      <c r="F202" s="197"/>
      <c r="G202" s="197"/>
      <c r="H202" s="197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197"/>
      <c r="T202" s="197"/>
      <c r="U202" s="197"/>
      <c r="V202" s="197"/>
      <c r="W202" s="197"/>
      <c r="X202" s="197"/>
      <c r="Y202" s="197"/>
    </row>
    <row r="203">
      <c r="A203" s="197"/>
      <c r="B203" s="197"/>
      <c r="C203" s="197"/>
      <c r="D203" s="197"/>
      <c r="E203" s="197"/>
      <c r="F203" s="197"/>
      <c r="G203" s="197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197"/>
      <c r="T203" s="197"/>
      <c r="U203" s="197"/>
      <c r="V203" s="197"/>
      <c r="W203" s="197"/>
      <c r="X203" s="197"/>
      <c r="Y203" s="197"/>
    </row>
    <row r="204">
      <c r="A204" s="197"/>
      <c r="B204" s="197"/>
      <c r="C204" s="197"/>
      <c r="D204" s="197"/>
      <c r="E204" s="197"/>
      <c r="F204" s="197"/>
      <c r="G204" s="197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197"/>
      <c r="T204" s="197"/>
      <c r="U204" s="197"/>
      <c r="V204" s="197"/>
      <c r="W204" s="197"/>
      <c r="X204" s="197"/>
      <c r="Y204" s="197"/>
    </row>
    <row r="205">
      <c r="A205" s="197"/>
      <c r="B205" s="197"/>
      <c r="C205" s="197"/>
      <c r="D205" s="197"/>
      <c r="E205" s="197"/>
      <c r="F205" s="197"/>
      <c r="G205" s="197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197"/>
      <c r="T205" s="197"/>
      <c r="U205" s="197"/>
      <c r="V205" s="197"/>
      <c r="W205" s="197"/>
      <c r="X205" s="197"/>
      <c r="Y205" s="197"/>
    </row>
    <row r="206">
      <c r="A206" s="197"/>
      <c r="B206" s="197"/>
      <c r="C206" s="197"/>
      <c r="D206" s="197"/>
      <c r="E206" s="197"/>
      <c r="F206" s="197"/>
      <c r="G206" s="197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197"/>
      <c r="T206" s="197"/>
      <c r="U206" s="197"/>
      <c r="V206" s="197"/>
      <c r="W206" s="197"/>
      <c r="X206" s="197"/>
      <c r="Y206" s="197"/>
    </row>
    <row r="207">
      <c r="A207" s="197"/>
      <c r="B207" s="197"/>
      <c r="C207" s="197"/>
      <c r="D207" s="197"/>
      <c r="E207" s="197"/>
      <c r="F207" s="197"/>
      <c r="G207" s="197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197"/>
      <c r="T207" s="197"/>
      <c r="U207" s="197"/>
      <c r="V207" s="197"/>
      <c r="W207" s="197"/>
      <c r="X207" s="197"/>
      <c r="Y207" s="197"/>
    </row>
    <row r="208">
      <c r="A208" s="197"/>
      <c r="B208" s="197"/>
      <c r="C208" s="197"/>
      <c r="D208" s="197"/>
      <c r="E208" s="197"/>
      <c r="F208" s="197"/>
      <c r="G208" s="197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197"/>
      <c r="T208" s="197"/>
      <c r="U208" s="197"/>
      <c r="V208" s="197"/>
      <c r="W208" s="197"/>
      <c r="X208" s="197"/>
      <c r="Y208" s="197"/>
    </row>
    <row r="209">
      <c r="A209" s="197"/>
      <c r="B209" s="197"/>
      <c r="C209" s="197"/>
      <c r="D209" s="197"/>
      <c r="E209" s="197"/>
      <c r="F209" s="197"/>
      <c r="G209" s="197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197"/>
      <c r="T209" s="197"/>
      <c r="U209" s="197"/>
      <c r="V209" s="197"/>
      <c r="W209" s="197"/>
      <c r="X209" s="197"/>
      <c r="Y209" s="197"/>
    </row>
    <row r="210">
      <c r="A210" s="197"/>
      <c r="B210" s="197"/>
      <c r="C210" s="197"/>
      <c r="D210" s="197"/>
      <c r="E210" s="197"/>
      <c r="F210" s="197"/>
      <c r="G210" s="197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197"/>
      <c r="T210" s="197"/>
      <c r="U210" s="197"/>
      <c r="V210" s="197"/>
      <c r="W210" s="197"/>
      <c r="X210" s="197"/>
      <c r="Y210" s="197"/>
    </row>
    <row r="211">
      <c r="A211" s="197"/>
      <c r="B211" s="197"/>
      <c r="C211" s="197"/>
      <c r="D211" s="197"/>
      <c r="E211" s="197"/>
      <c r="F211" s="197"/>
      <c r="G211" s="197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197"/>
      <c r="T211" s="197"/>
      <c r="U211" s="197"/>
      <c r="V211" s="197"/>
      <c r="W211" s="197"/>
      <c r="X211" s="197"/>
      <c r="Y211" s="197"/>
    </row>
    <row r="212">
      <c r="A212" s="197"/>
      <c r="B212" s="197"/>
      <c r="C212" s="197"/>
      <c r="D212" s="197"/>
      <c r="E212" s="197"/>
      <c r="F212" s="197"/>
      <c r="G212" s="197"/>
      <c r="H212" s="197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197"/>
      <c r="T212" s="197"/>
      <c r="U212" s="197"/>
      <c r="V212" s="197"/>
      <c r="W212" s="197"/>
      <c r="X212" s="197"/>
      <c r="Y212" s="197"/>
    </row>
    <row r="213">
      <c r="A213" s="197"/>
      <c r="B213" s="197"/>
      <c r="C213" s="197"/>
      <c r="D213" s="197"/>
      <c r="E213" s="197"/>
      <c r="F213" s="197"/>
      <c r="G213" s="197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197"/>
      <c r="T213" s="197"/>
      <c r="U213" s="197"/>
      <c r="V213" s="197"/>
      <c r="W213" s="197"/>
      <c r="X213" s="197"/>
      <c r="Y213" s="197"/>
    </row>
    <row r="214">
      <c r="A214" s="197"/>
      <c r="B214" s="197"/>
      <c r="C214" s="197"/>
      <c r="D214" s="197"/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</row>
    <row r="215">
      <c r="A215" s="197"/>
      <c r="B215" s="197"/>
      <c r="C215" s="197"/>
      <c r="D215" s="197"/>
      <c r="E215" s="197"/>
      <c r="F215" s="197"/>
      <c r="G215" s="197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197"/>
      <c r="T215" s="197"/>
      <c r="U215" s="197"/>
      <c r="V215" s="197"/>
      <c r="W215" s="197"/>
      <c r="X215" s="197"/>
      <c r="Y215" s="197"/>
    </row>
    <row r="216">
      <c r="A216" s="197"/>
      <c r="B216" s="197"/>
      <c r="C216" s="197"/>
      <c r="D216" s="197"/>
      <c r="E216" s="197"/>
      <c r="F216" s="197"/>
      <c r="G216" s="197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197"/>
      <c r="T216" s="197"/>
      <c r="U216" s="197"/>
      <c r="V216" s="197"/>
      <c r="W216" s="197"/>
      <c r="X216" s="197"/>
      <c r="Y216" s="197"/>
    </row>
    <row r="217">
      <c r="A217" s="197"/>
      <c r="B217" s="197"/>
      <c r="C217" s="197"/>
      <c r="D217" s="197"/>
      <c r="E217" s="197"/>
      <c r="F217" s="197"/>
      <c r="G217" s="197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197"/>
      <c r="T217" s="197"/>
      <c r="U217" s="197"/>
      <c r="V217" s="197"/>
      <c r="W217" s="197"/>
      <c r="X217" s="197"/>
      <c r="Y217" s="197"/>
    </row>
    <row r="218">
      <c r="A218" s="197"/>
      <c r="B218" s="197"/>
      <c r="C218" s="197"/>
      <c r="D218" s="197"/>
      <c r="E218" s="197"/>
      <c r="F218" s="197"/>
      <c r="G218" s="197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197"/>
      <c r="T218" s="197"/>
      <c r="U218" s="197"/>
      <c r="V218" s="197"/>
      <c r="W218" s="197"/>
      <c r="X218" s="197"/>
      <c r="Y218" s="197"/>
    </row>
    <row r="219">
      <c r="A219" s="197"/>
      <c r="B219" s="197"/>
      <c r="C219" s="197"/>
      <c r="D219" s="197"/>
      <c r="E219" s="197"/>
      <c r="F219" s="197"/>
      <c r="G219" s="197"/>
      <c r="H219" s="197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197"/>
      <c r="T219" s="197"/>
      <c r="U219" s="197"/>
      <c r="V219" s="197"/>
      <c r="W219" s="197"/>
      <c r="X219" s="197"/>
      <c r="Y219" s="197"/>
    </row>
    <row r="220">
      <c r="A220" s="197"/>
      <c r="B220" s="197"/>
      <c r="C220" s="197"/>
      <c r="D220" s="197"/>
      <c r="E220" s="197"/>
      <c r="F220" s="197"/>
      <c r="G220" s="197"/>
      <c r="H220" s="197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197"/>
      <c r="T220" s="197"/>
      <c r="U220" s="197"/>
      <c r="V220" s="197"/>
      <c r="W220" s="197"/>
      <c r="X220" s="197"/>
      <c r="Y220" s="197"/>
    </row>
    <row r="221">
      <c r="A221" s="197"/>
      <c r="B221" s="197"/>
      <c r="C221" s="197"/>
      <c r="D221" s="197"/>
      <c r="E221" s="197"/>
      <c r="F221" s="197"/>
      <c r="G221" s="197"/>
      <c r="H221" s="197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197"/>
      <c r="T221" s="197"/>
      <c r="U221" s="197"/>
      <c r="V221" s="197"/>
      <c r="W221" s="197"/>
      <c r="X221" s="197"/>
      <c r="Y221" s="197"/>
    </row>
    <row r="222">
      <c r="A222" s="197"/>
      <c r="B222" s="197"/>
      <c r="C222" s="197"/>
      <c r="D222" s="197"/>
      <c r="E222" s="197"/>
      <c r="F222" s="197"/>
      <c r="G222" s="197"/>
      <c r="H222" s="197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197"/>
      <c r="T222" s="197"/>
      <c r="U222" s="197"/>
      <c r="V222" s="197"/>
      <c r="W222" s="197"/>
      <c r="X222" s="197"/>
      <c r="Y222" s="197"/>
    </row>
    <row r="223">
      <c r="A223" s="197"/>
      <c r="B223" s="197"/>
      <c r="C223" s="197"/>
      <c r="D223" s="197"/>
      <c r="E223" s="197"/>
      <c r="F223" s="197"/>
      <c r="G223" s="197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197"/>
      <c r="T223" s="197"/>
      <c r="U223" s="197"/>
      <c r="V223" s="197"/>
      <c r="W223" s="197"/>
      <c r="X223" s="197"/>
      <c r="Y223" s="197"/>
    </row>
    <row r="224">
      <c r="A224" s="197"/>
      <c r="B224" s="197"/>
      <c r="C224" s="197"/>
      <c r="D224" s="197"/>
      <c r="E224" s="197"/>
      <c r="F224" s="197"/>
      <c r="G224" s="197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197"/>
      <c r="T224" s="197"/>
      <c r="U224" s="197"/>
      <c r="V224" s="197"/>
      <c r="W224" s="197"/>
      <c r="X224" s="197"/>
      <c r="Y224" s="197"/>
    </row>
    <row r="225">
      <c r="A225" s="197"/>
      <c r="B225" s="197"/>
      <c r="C225" s="197"/>
      <c r="D225" s="197"/>
      <c r="E225" s="197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97"/>
      <c r="X225" s="197"/>
      <c r="Y225" s="197"/>
    </row>
    <row r="226">
      <c r="A226" s="197"/>
      <c r="B226" s="197"/>
      <c r="C226" s="197"/>
      <c r="D226" s="197"/>
      <c r="E226" s="197"/>
      <c r="F226" s="197"/>
      <c r="G226" s="197"/>
      <c r="H226" s="197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197"/>
      <c r="T226" s="197"/>
      <c r="U226" s="197"/>
      <c r="V226" s="197"/>
      <c r="W226" s="197"/>
      <c r="X226" s="197"/>
      <c r="Y226" s="197"/>
    </row>
    <row r="227">
      <c r="A227" s="197"/>
      <c r="B227" s="197"/>
      <c r="C227" s="197"/>
      <c r="D227" s="197"/>
      <c r="E227" s="197"/>
      <c r="F227" s="197"/>
      <c r="G227" s="197"/>
      <c r="H227" s="197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197"/>
      <c r="T227" s="197"/>
      <c r="U227" s="197"/>
      <c r="V227" s="197"/>
      <c r="W227" s="197"/>
      <c r="X227" s="197"/>
      <c r="Y227" s="197"/>
    </row>
    <row r="228">
      <c r="A228" s="197"/>
      <c r="B228" s="197"/>
      <c r="C228" s="197"/>
      <c r="D228" s="197"/>
      <c r="E228" s="197"/>
      <c r="F228" s="197"/>
      <c r="G228" s="197"/>
      <c r="H228" s="197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197"/>
      <c r="T228" s="197"/>
      <c r="U228" s="197"/>
      <c r="V228" s="197"/>
      <c r="W228" s="197"/>
      <c r="X228" s="197"/>
      <c r="Y228" s="197"/>
    </row>
    <row r="229">
      <c r="A229" s="197"/>
      <c r="B229" s="197"/>
      <c r="C229" s="197"/>
      <c r="D229" s="197"/>
      <c r="E229" s="197"/>
      <c r="F229" s="197"/>
      <c r="G229" s="197"/>
      <c r="H229" s="197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197"/>
      <c r="T229" s="197"/>
      <c r="U229" s="197"/>
      <c r="V229" s="197"/>
      <c r="W229" s="197"/>
      <c r="X229" s="197"/>
      <c r="Y229" s="197"/>
    </row>
    <row r="230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197"/>
      <c r="T230" s="197"/>
      <c r="U230" s="197"/>
      <c r="V230" s="197"/>
      <c r="W230" s="197"/>
      <c r="X230" s="197"/>
      <c r="Y230" s="197"/>
    </row>
    <row r="231">
      <c r="A231" s="197"/>
      <c r="B231" s="197"/>
      <c r="C231" s="197"/>
      <c r="D231" s="197"/>
      <c r="E231" s="197"/>
      <c r="F231" s="197"/>
      <c r="G231" s="197"/>
      <c r="H231" s="197"/>
      <c r="I231" s="197"/>
      <c r="J231" s="197"/>
      <c r="K231" s="197"/>
      <c r="L231" s="197"/>
      <c r="M231" s="197"/>
      <c r="N231" s="197"/>
      <c r="O231" s="197"/>
      <c r="P231" s="197"/>
      <c r="Q231" s="197"/>
      <c r="R231" s="197"/>
      <c r="S231" s="197"/>
      <c r="T231" s="197"/>
      <c r="U231" s="197"/>
      <c r="V231" s="197"/>
      <c r="W231" s="197"/>
      <c r="X231" s="197"/>
      <c r="Y231" s="197"/>
    </row>
    <row r="232">
      <c r="A232" s="197"/>
      <c r="B232" s="197"/>
      <c r="C232" s="197"/>
      <c r="D232" s="197"/>
      <c r="E232" s="197"/>
      <c r="F232" s="197"/>
      <c r="G232" s="197"/>
      <c r="H232" s="197"/>
      <c r="I232" s="197"/>
      <c r="J232" s="197"/>
      <c r="K232" s="197"/>
      <c r="L232" s="197"/>
      <c r="M232" s="197"/>
      <c r="N232" s="197"/>
      <c r="O232" s="197"/>
      <c r="P232" s="197"/>
      <c r="Q232" s="197"/>
      <c r="R232" s="197"/>
      <c r="S232" s="197"/>
      <c r="T232" s="197"/>
      <c r="U232" s="197"/>
      <c r="V232" s="197"/>
      <c r="W232" s="197"/>
      <c r="X232" s="197"/>
      <c r="Y232" s="197"/>
    </row>
    <row r="233">
      <c r="A233" s="197"/>
      <c r="B233" s="197"/>
      <c r="C233" s="197"/>
      <c r="D233" s="197"/>
      <c r="E233" s="197"/>
      <c r="F233" s="197"/>
      <c r="G233" s="197"/>
      <c r="H233" s="197"/>
      <c r="I233" s="197"/>
      <c r="J233" s="197"/>
      <c r="K233" s="197"/>
      <c r="L233" s="197"/>
      <c r="M233" s="197"/>
      <c r="N233" s="197"/>
      <c r="O233" s="197"/>
      <c r="P233" s="197"/>
      <c r="Q233" s="197"/>
      <c r="R233" s="197"/>
      <c r="S233" s="197"/>
      <c r="T233" s="197"/>
      <c r="U233" s="197"/>
      <c r="V233" s="197"/>
      <c r="W233" s="197"/>
      <c r="X233" s="197"/>
      <c r="Y233" s="197"/>
    </row>
    <row r="234">
      <c r="A234" s="197"/>
      <c r="B234" s="197"/>
      <c r="C234" s="197"/>
      <c r="D234" s="197"/>
      <c r="E234" s="197"/>
      <c r="F234" s="197"/>
      <c r="G234" s="197"/>
      <c r="H234" s="197"/>
      <c r="I234" s="197"/>
      <c r="J234" s="197"/>
      <c r="K234" s="197"/>
      <c r="L234" s="197"/>
      <c r="M234" s="197"/>
      <c r="N234" s="197"/>
      <c r="O234" s="197"/>
      <c r="P234" s="197"/>
      <c r="Q234" s="197"/>
      <c r="R234" s="197"/>
      <c r="S234" s="197"/>
      <c r="T234" s="197"/>
      <c r="U234" s="197"/>
      <c r="V234" s="197"/>
      <c r="W234" s="197"/>
      <c r="X234" s="197"/>
      <c r="Y234" s="197"/>
    </row>
    <row r="235">
      <c r="A235" s="197"/>
      <c r="B235" s="197"/>
      <c r="C235" s="197"/>
      <c r="D235" s="197"/>
      <c r="E235" s="197"/>
      <c r="F235" s="197"/>
      <c r="G235" s="197"/>
      <c r="H235" s="197"/>
      <c r="I235" s="197"/>
      <c r="J235" s="197"/>
      <c r="K235" s="197"/>
      <c r="L235" s="197"/>
      <c r="M235" s="197"/>
      <c r="N235" s="197"/>
      <c r="O235" s="197"/>
      <c r="P235" s="197"/>
      <c r="Q235" s="197"/>
      <c r="R235" s="197"/>
      <c r="S235" s="197"/>
      <c r="T235" s="197"/>
      <c r="U235" s="197"/>
      <c r="V235" s="197"/>
      <c r="W235" s="197"/>
      <c r="X235" s="197"/>
      <c r="Y235" s="197"/>
    </row>
    <row r="236">
      <c r="A236" s="197"/>
      <c r="B236" s="197"/>
      <c r="C236" s="197"/>
      <c r="D236" s="197"/>
      <c r="E236" s="197"/>
      <c r="F236" s="197"/>
      <c r="G236" s="197"/>
      <c r="H236" s="197"/>
      <c r="I236" s="197"/>
      <c r="J236" s="197"/>
      <c r="K236" s="197"/>
      <c r="L236" s="197"/>
      <c r="M236" s="197"/>
      <c r="N236" s="197"/>
      <c r="O236" s="197"/>
      <c r="P236" s="197"/>
      <c r="Q236" s="197"/>
      <c r="R236" s="197"/>
      <c r="S236" s="197"/>
      <c r="T236" s="197"/>
      <c r="U236" s="197"/>
      <c r="V236" s="197"/>
      <c r="W236" s="197"/>
      <c r="X236" s="197"/>
      <c r="Y236" s="197"/>
    </row>
    <row r="237">
      <c r="A237" s="197"/>
      <c r="B237" s="197"/>
      <c r="C237" s="197"/>
      <c r="D237" s="197"/>
      <c r="E237" s="197"/>
      <c r="F237" s="197"/>
      <c r="G237" s="197"/>
      <c r="H237" s="197"/>
      <c r="I237" s="197"/>
      <c r="J237" s="197"/>
      <c r="K237" s="197"/>
      <c r="L237" s="197"/>
      <c r="M237" s="197"/>
      <c r="N237" s="197"/>
      <c r="O237" s="197"/>
      <c r="P237" s="197"/>
      <c r="Q237" s="197"/>
      <c r="R237" s="197"/>
      <c r="S237" s="197"/>
      <c r="T237" s="197"/>
      <c r="U237" s="197"/>
      <c r="V237" s="197"/>
      <c r="W237" s="197"/>
      <c r="X237" s="197"/>
      <c r="Y237" s="197"/>
    </row>
    <row r="238">
      <c r="A238" s="197"/>
      <c r="B238" s="197"/>
      <c r="C238" s="197"/>
      <c r="D238" s="197"/>
      <c r="E238" s="197"/>
      <c r="F238" s="197"/>
      <c r="G238" s="197"/>
      <c r="H238" s="197"/>
      <c r="I238" s="197"/>
      <c r="J238" s="197"/>
      <c r="K238" s="197"/>
      <c r="L238" s="197"/>
      <c r="M238" s="197"/>
      <c r="N238" s="197"/>
      <c r="O238" s="197"/>
      <c r="P238" s="197"/>
      <c r="Q238" s="197"/>
      <c r="R238" s="197"/>
      <c r="S238" s="197"/>
      <c r="T238" s="197"/>
      <c r="U238" s="197"/>
      <c r="V238" s="197"/>
      <c r="W238" s="197"/>
      <c r="X238" s="197"/>
      <c r="Y238" s="197"/>
    </row>
    <row r="239">
      <c r="A239" s="197"/>
      <c r="B239" s="197"/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</row>
    <row r="240">
      <c r="A240" s="197"/>
      <c r="B240" s="197"/>
      <c r="C240" s="197"/>
      <c r="D240" s="197"/>
      <c r="E240" s="197"/>
      <c r="F240" s="197"/>
      <c r="G240" s="197"/>
      <c r="H240" s="197"/>
      <c r="I240" s="197"/>
      <c r="J240" s="197"/>
      <c r="K240" s="197"/>
      <c r="L240" s="197"/>
      <c r="M240" s="197"/>
      <c r="N240" s="197"/>
      <c r="O240" s="197"/>
      <c r="P240" s="197"/>
      <c r="Q240" s="197"/>
      <c r="R240" s="197"/>
      <c r="S240" s="197"/>
      <c r="T240" s="197"/>
      <c r="U240" s="197"/>
      <c r="V240" s="197"/>
      <c r="W240" s="197"/>
      <c r="X240" s="197"/>
      <c r="Y240" s="197"/>
    </row>
    <row r="241">
      <c r="A241" s="197"/>
      <c r="B241" s="197"/>
      <c r="C241" s="197"/>
      <c r="D241" s="197"/>
      <c r="E241" s="197"/>
      <c r="F241" s="197"/>
      <c r="G241" s="197"/>
      <c r="H241" s="197"/>
      <c r="I241" s="197"/>
      <c r="J241" s="197"/>
      <c r="K241" s="197"/>
      <c r="L241" s="197"/>
      <c r="M241" s="197"/>
      <c r="N241" s="197"/>
      <c r="O241" s="197"/>
      <c r="P241" s="197"/>
      <c r="Q241" s="197"/>
      <c r="R241" s="197"/>
      <c r="S241" s="197"/>
      <c r="T241" s="197"/>
      <c r="U241" s="197"/>
      <c r="V241" s="197"/>
      <c r="W241" s="197"/>
      <c r="X241" s="197"/>
      <c r="Y241" s="197"/>
    </row>
    <row r="242">
      <c r="A242" s="197"/>
      <c r="B242" s="197"/>
      <c r="C242" s="197"/>
      <c r="D242" s="197"/>
      <c r="E242" s="197"/>
      <c r="F242" s="197"/>
      <c r="G242" s="197"/>
      <c r="H242" s="197"/>
      <c r="I242" s="197"/>
      <c r="J242" s="197"/>
      <c r="K242" s="197"/>
      <c r="L242" s="197"/>
      <c r="M242" s="197"/>
      <c r="N242" s="197"/>
      <c r="O242" s="197"/>
      <c r="P242" s="197"/>
      <c r="Q242" s="197"/>
      <c r="R242" s="197"/>
      <c r="S242" s="197"/>
      <c r="T242" s="197"/>
      <c r="U242" s="197"/>
      <c r="V242" s="197"/>
      <c r="W242" s="197"/>
      <c r="X242" s="197"/>
      <c r="Y242" s="197"/>
    </row>
    <row r="243">
      <c r="A243" s="197"/>
      <c r="B243" s="197"/>
      <c r="C243" s="197"/>
      <c r="D243" s="197"/>
      <c r="E243" s="197"/>
      <c r="F243" s="197"/>
      <c r="G243" s="197"/>
      <c r="H243" s="197"/>
      <c r="I243" s="197"/>
      <c r="J243" s="197"/>
      <c r="K243" s="197"/>
      <c r="L243" s="197"/>
      <c r="M243" s="197"/>
      <c r="N243" s="197"/>
      <c r="O243" s="197"/>
      <c r="P243" s="197"/>
      <c r="Q243" s="197"/>
      <c r="R243" s="197"/>
      <c r="S243" s="197"/>
      <c r="T243" s="197"/>
      <c r="U243" s="197"/>
      <c r="V243" s="197"/>
      <c r="W243" s="197"/>
      <c r="X243" s="197"/>
      <c r="Y243" s="197"/>
    </row>
    <row r="244">
      <c r="A244" s="197"/>
      <c r="B244" s="197"/>
      <c r="C244" s="197"/>
      <c r="D244" s="197"/>
      <c r="E244" s="197"/>
      <c r="F244" s="197"/>
      <c r="G244" s="197"/>
      <c r="H244" s="197"/>
      <c r="I244" s="197"/>
      <c r="J244" s="197"/>
      <c r="K244" s="197"/>
      <c r="L244" s="197"/>
      <c r="M244" s="197"/>
      <c r="N244" s="197"/>
      <c r="O244" s="197"/>
      <c r="P244" s="197"/>
      <c r="Q244" s="197"/>
      <c r="R244" s="197"/>
      <c r="S244" s="197"/>
      <c r="T244" s="197"/>
      <c r="U244" s="197"/>
      <c r="V244" s="197"/>
      <c r="W244" s="197"/>
      <c r="X244" s="197"/>
      <c r="Y244" s="197"/>
    </row>
    <row r="245">
      <c r="A245" s="197"/>
      <c r="B245" s="197"/>
      <c r="C245" s="197"/>
      <c r="D245" s="197"/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</row>
    <row r="246">
      <c r="A246" s="197"/>
      <c r="B246" s="197"/>
      <c r="C246" s="197"/>
      <c r="D246" s="197"/>
      <c r="E246" s="197"/>
      <c r="F246" s="197"/>
      <c r="G246" s="197"/>
      <c r="H246" s="197"/>
      <c r="I246" s="197"/>
      <c r="J246" s="197"/>
      <c r="K246" s="197"/>
      <c r="L246" s="197"/>
      <c r="M246" s="197"/>
      <c r="N246" s="197"/>
      <c r="O246" s="197"/>
      <c r="P246" s="197"/>
      <c r="Q246" s="197"/>
      <c r="R246" s="197"/>
      <c r="S246" s="197"/>
      <c r="T246" s="197"/>
      <c r="U246" s="197"/>
      <c r="V246" s="197"/>
      <c r="W246" s="197"/>
      <c r="X246" s="197"/>
      <c r="Y246" s="197"/>
    </row>
    <row r="247">
      <c r="A247" s="197"/>
      <c r="B247" s="197"/>
      <c r="C247" s="197"/>
      <c r="D247" s="197"/>
      <c r="E247" s="197"/>
      <c r="F247" s="197"/>
      <c r="G247" s="197"/>
      <c r="H247" s="197"/>
      <c r="I247" s="197"/>
      <c r="J247" s="197"/>
      <c r="K247" s="197"/>
      <c r="L247" s="197"/>
      <c r="M247" s="197"/>
      <c r="N247" s="197"/>
      <c r="O247" s="197"/>
      <c r="P247" s="197"/>
      <c r="Q247" s="197"/>
      <c r="R247" s="197"/>
      <c r="S247" s="197"/>
      <c r="T247" s="197"/>
      <c r="U247" s="197"/>
      <c r="V247" s="197"/>
      <c r="W247" s="197"/>
      <c r="X247" s="197"/>
      <c r="Y247" s="197"/>
    </row>
    <row r="248">
      <c r="A248" s="197"/>
      <c r="B248" s="197"/>
      <c r="C248" s="197"/>
      <c r="D248" s="197"/>
      <c r="E248" s="197"/>
      <c r="F248" s="197"/>
      <c r="G248" s="197"/>
      <c r="H248" s="197"/>
      <c r="I248" s="197"/>
      <c r="J248" s="197"/>
      <c r="K248" s="197"/>
      <c r="L248" s="197"/>
      <c r="M248" s="197"/>
      <c r="N248" s="197"/>
      <c r="O248" s="197"/>
      <c r="P248" s="197"/>
      <c r="Q248" s="197"/>
      <c r="R248" s="197"/>
      <c r="S248" s="197"/>
      <c r="T248" s="197"/>
      <c r="U248" s="197"/>
      <c r="V248" s="197"/>
      <c r="W248" s="197"/>
      <c r="X248" s="197"/>
      <c r="Y248" s="197"/>
    </row>
    <row r="249">
      <c r="A249" s="197"/>
      <c r="B249" s="197"/>
      <c r="C249" s="197"/>
      <c r="D249" s="197"/>
      <c r="E249" s="197"/>
      <c r="F249" s="197"/>
      <c r="G249" s="197"/>
      <c r="H249" s="197"/>
      <c r="I249" s="197"/>
      <c r="J249" s="197"/>
      <c r="K249" s="197"/>
      <c r="L249" s="197"/>
      <c r="M249" s="197"/>
      <c r="N249" s="197"/>
      <c r="O249" s="197"/>
      <c r="P249" s="197"/>
      <c r="Q249" s="197"/>
      <c r="R249" s="197"/>
      <c r="S249" s="197"/>
      <c r="T249" s="197"/>
      <c r="U249" s="197"/>
      <c r="V249" s="197"/>
      <c r="W249" s="197"/>
      <c r="X249" s="197"/>
      <c r="Y249" s="197"/>
    </row>
    <row r="250">
      <c r="A250" s="197"/>
      <c r="B250" s="197"/>
      <c r="C250" s="197"/>
      <c r="D250" s="197"/>
      <c r="E250" s="197"/>
      <c r="F250" s="197"/>
      <c r="G250" s="197"/>
      <c r="H250" s="197"/>
      <c r="I250" s="197"/>
      <c r="J250" s="197"/>
      <c r="K250" s="197"/>
      <c r="L250" s="197"/>
      <c r="M250" s="197"/>
      <c r="N250" s="197"/>
      <c r="O250" s="197"/>
      <c r="P250" s="197"/>
      <c r="Q250" s="197"/>
      <c r="R250" s="197"/>
      <c r="S250" s="197"/>
      <c r="T250" s="197"/>
      <c r="U250" s="197"/>
      <c r="V250" s="197"/>
      <c r="W250" s="197"/>
      <c r="X250" s="197"/>
      <c r="Y250" s="197"/>
    </row>
    <row r="251">
      <c r="A251" s="197"/>
      <c r="B251" s="197"/>
      <c r="C251" s="197"/>
      <c r="D251" s="197"/>
      <c r="E251" s="197"/>
      <c r="F251" s="197"/>
      <c r="G251" s="197"/>
      <c r="H251" s="197"/>
      <c r="I251" s="197"/>
      <c r="J251" s="197"/>
      <c r="K251" s="197"/>
      <c r="L251" s="197"/>
      <c r="M251" s="197"/>
      <c r="N251" s="197"/>
      <c r="O251" s="197"/>
      <c r="P251" s="197"/>
      <c r="Q251" s="197"/>
      <c r="R251" s="197"/>
      <c r="S251" s="197"/>
      <c r="T251" s="197"/>
      <c r="U251" s="197"/>
      <c r="V251" s="197"/>
      <c r="W251" s="197"/>
      <c r="X251" s="197"/>
      <c r="Y251" s="197"/>
    </row>
    <row r="252">
      <c r="A252" s="197"/>
      <c r="B252" s="197"/>
      <c r="C252" s="197"/>
      <c r="D252" s="197"/>
      <c r="E252" s="197"/>
      <c r="F252" s="197"/>
      <c r="G252" s="197"/>
      <c r="H252" s="197"/>
      <c r="I252" s="197"/>
      <c r="J252" s="197"/>
      <c r="K252" s="197"/>
      <c r="L252" s="197"/>
      <c r="M252" s="197"/>
      <c r="N252" s="197"/>
      <c r="O252" s="197"/>
      <c r="P252" s="197"/>
      <c r="Q252" s="197"/>
      <c r="R252" s="197"/>
      <c r="S252" s="197"/>
      <c r="T252" s="197"/>
      <c r="U252" s="197"/>
      <c r="V252" s="197"/>
      <c r="W252" s="197"/>
      <c r="X252" s="197"/>
      <c r="Y252" s="197"/>
    </row>
    <row r="253">
      <c r="A253" s="197"/>
      <c r="B253" s="197"/>
      <c r="C253" s="197"/>
      <c r="D253" s="197"/>
      <c r="E253" s="197"/>
      <c r="F253" s="197"/>
      <c r="G253" s="197"/>
      <c r="H253" s="197"/>
      <c r="I253" s="197"/>
      <c r="J253" s="197"/>
      <c r="K253" s="197"/>
      <c r="L253" s="197"/>
      <c r="M253" s="197"/>
      <c r="N253" s="197"/>
      <c r="O253" s="197"/>
      <c r="P253" s="197"/>
      <c r="Q253" s="197"/>
      <c r="R253" s="197"/>
      <c r="S253" s="197"/>
      <c r="T253" s="197"/>
      <c r="U253" s="197"/>
      <c r="V253" s="197"/>
      <c r="W253" s="197"/>
      <c r="X253" s="197"/>
      <c r="Y253" s="197"/>
    </row>
    <row r="254">
      <c r="A254" s="197"/>
      <c r="B254" s="197"/>
      <c r="C254" s="197"/>
      <c r="D254" s="197"/>
      <c r="E254" s="197"/>
      <c r="F254" s="197"/>
      <c r="G254" s="197"/>
      <c r="H254" s="197"/>
      <c r="I254" s="197"/>
      <c r="J254" s="197"/>
      <c r="K254" s="197"/>
      <c r="L254" s="197"/>
      <c r="M254" s="197"/>
      <c r="N254" s="197"/>
      <c r="O254" s="197"/>
      <c r="P254" s="197"/>
      <c r="Q254" s="197"/>
      <c r="R254" s="197"/>
      <c r="S254" s="197"/>
      <c r="T254" s="197"/>
      <c r="U254" s="197"/>
      <c r="V254" s="197"/>
      <c r="W254" s="197"/>
      <c r="X254" s="197"/>
      <c r="Y254" s="197"/>
    </row>
    <row r="255">
      <c r="A255" s="197"/>
      <c r="B255" s="197"/>
      <c r="C255" s="197"/>
      <c r="D255" s="197"/>
      <c r="E255" s="197"/>
      <c r="F255" s="197"/>
      <c r="G255" s="197"/>
      <c r="H255" s="197"/>
      <c r="I255" s="197"/>
      <c r="J255" s="197"/>
      <c r="K255" s="197"/>
      <c r="L255" s="197"/>
      <c r="M255" s="197"/>
      <c r="N255" s="197"/>
      <c r="O255" s="197"/>
      <c r="P255" s="197"/>
      <c r="Q255" s="197"/>
      <c r="R255" s="197"/>
      <c r="S255" s="197"/>
      <c r="T255" s="197"/>
      <c r="U255" s="197"/>
      <c r="V255" s="197"/>
      <c r="W255" s="197"/>
      <c r="X255" s="197"/>
      <c r="Y255" s="197"/>
    </row>
    <row r="256">
      <c r="A256" s="197"/>
      <c r="B256" s="197"/>
      <c r="C256" s="197"/>
      <c r="D256" s="197"/>
      <c r="E256" s="197"/>
      <c r="F256" s="197"/>
      <c r="G256" s="197"/>
      <c r="H256" s="197"/>
      <c r="I256" s="197"/>
      <c r="J256" s="197"/>
      <c r="K256" s="197"/>
      <c r="L256" s="197"/>
      <c r="M256" s="197"/>
      <c r="N256" s="197"/>
      <c r="O256" s="197"/>
      <c r="P256" s="197"/>
      <c r="Q256" s="197"/>
      <c r="R256" s="197"/>
      <c r="S256" s="197"/>
      <c r="T256" s="197"/>
      <c r="U256" s="197"/>
      <c r="V256" s="197"/>
      <c r="W256" s="197"/>
      <c r="X256" s="197"/>
      <c r="Y256" s="197"/>
    </row>
    <row r="257">
      <c r="A257" s="197"/>
      <c r="B257" s="197"/>
      <c r="C257" s="197"/>
      <c r="D257" s="197"/>
      <c r="E257" s="197"/>
      <c r="F257" s="197"/>
      <c r="G257" s="197"/>
      <c r="H257" s="197"/>
      <c r="I257" s="197"/>
      <c r="J257" s="197"/>
      <c r="K257" s="197"/>
      <c r="L257" s="197"/>
      <c r="M257" s="197"/>
      <c r="N257" s="197"/>
      <c r="O257" s="197"/>
      <c r="P257" s="197"/>
      <c r="Q257" s="197"/>
      <c r="R257" s="197"/>
      <c r="S257" s="197"/>
      <c r="T257" s="197"/>
      <c r="U257" s="197"/>
      <c r="V257" s="197"/>
      <c r="W257" s="197"/>
      <c r="X257" s="197"/>
      <c r="Y257" s="197"/>
    </row>
    <row r="258">
      <c r="A258" s="197"/>
      <c r="B258" s="197"/>
      <c r="C258" s="197"/>
      <c r="D258" s="197"/>
      <c r="E258" s="197"/>
      <c r="F258" s="197"/>
      <c r="G258" s="197"/>
      <c r="H258" s="197"/>
      <c r="I258" s="197"/>
      <c r="J258" s="197"/>
      <c r="K258" s="197"/>
      <c r="L258" s="197"/>
      <c r="M258" s="197"/>
      <c r="N258" s="197"/>
      <c r="O258" s="197"/>
      <c r="P258" s="197"/>
      <c r="Q258" s="197"/>
      <c r="R258" s="197"/>
      <c r="S258" s="197"/>
      <c r="T258" s="197"/>
      <c r="U258" s="197"/>
      <c r="V258" s="197"/>
      <c r="W258" s="197"/>
      <c r="X258" s="197"/>
      <c r="Y258" s="197"/>
    </row>
    <row r="259">
      <c r="A259" s="197"/>
      <c r="B259" s="197"/>
      <c r="C259" s="197"/>
      <c r="D259" s="197"/>
      <c r="E259" s="197"/>
      <c r="F259" s="197"/>
      <c r="G259" s="197"/>
      <c r="H259" s="197"/>
      <c r="I259" s="197"/>
      <c r="J259" s="197"/>
      <c r="K259" s="197"/>
      <c r="L259" s="197"/>
      <c r="M259" s="197"/>
      <c r="N259" s="197"/>
      <c r="O259" s="197"/>
      <c r="P259" s="197"/>
      <c r="Q259" s="197"/>
      <c r="R259" s="197"/>
      <c r="S259" s="197"/>
      <c r="T259" s="197"/>
      <c r="U259" s="197"/>
      <c r="V259" s="197"/>
      <c r="W259" s="197"/>
      <c r="X259" s="197"/>
      <c r="Y259" s="197"/>
    </row>
    <row r="260">
      <c r="A260" s="197"/>
      <c r="B260" s="197"/>
      <c r="C260" s="197"/>
      <c r="D260" s="197"/>
      <c r="E260" s="197"/>
      <c r="F260" s="197"/>
      <c r="G260" s="197"/>
      <c r="H260" s="197"/>
      <c r="I260" s="197"/>
      <c r="J260" s="197"/>
      <c r="K260" s="197"/>
      <c r="L260" s="197"/>
      <c r="M260" s="197"/>
      <c r="N260" s="197"/>
      <c r="O260" s="197"/>
      <c r="P260" s="197"/>
      <c r="Q260" s="197"/>
      <c r="R260" s="197"/>
      <c r="S260" s="197"/>
      <c r="T260" s="197"/>
      <c r="U260" s="197"/>
      <c r="V260" s="197"/>
      <c r="W260" s="197"/>
      <c r="X260" s="197"/>
      <c r="Y260" s="197"/>
    </row>
    <row r="261">
      <c r="A261" s="197"/>
      <c r="B261" s="197"/>
      <c r="C261" s="197"/>
      <c r="D261" s="197"/>
      <c r="E261" s="197"/>
      <c r="F261" s="197"/>
      <c r="G261" s="197"/>
      <c r="H261" s="197"/>
      <c r="I261" s="197"/>
      <c r="J261" s="197"/>
      <c r="K261" s="197"/>
      <c r="L261" s="197"/>
      <c r="M261" s="197"/>
      <c r="N261" s="197"/>
      <c r="O261" s="197"/>
      <c r="P261" s="197"/>
      <c r="Q261" s="197"/>
      <c r="R261" s="197"/>
      <c r="S261" s="197"/>
      <c r="T261" s="197"/>
      <c r="U261" s="197"/>
      <c r="V261" s="197"/>
      <c r="W261" s="197"/>
      <c r="X261" s="197"/>
      <c r="Y261" s="197"/>
    </row>
    <row r="262">
      <c r="A262" s="197"/>
      <c r="B262" s="197"/>
      <c r="C262" s="197"/>
      <c r="D262" s="197"/>
      <c r="E262" s="197"/>
      <c r="F262" s="197"/>
      <c r="G262" s="197"/>
      <c r="H262" s="197"/>
      <c r="I262" s="197"/>
      <c r="J262" s="197"/>
      <c r="K262" s="197"/>
      <c r="L262" s="197"/>
      <c r="M262" s="197"/>
      <c r="N262" s="197"/>
      <c r="O262" s="197"/>
      <c r="P262" s="197"/>
      <c r="Q262" s="197"/>
      <c r="R262" s="197"/>
      <c r="S262" s="197"/>
      <c r="T262" s="197"/>
      <c r="U262" s="197"/>
      <c r="V262" s="197"/>
      <c r="W262" s="197"/>
      <c r="X262" s="197"/>
      <c r="Y262" s="197"/>
    </row>
    <row r="263">
      <c r="A263" s="197"/>
      <c r="B263" s="197"/>
      <c r="C263" s="197"/>
      <c r="D263" s="197"/>
      <c r="E263" s="197"/>
      <c r="F263" s="197"/>
      <c r="G263" s="197"/>
      <c r="H263" s="197"/>
      <c r="I263" s="197"/>
      <c r="J263" s="197"/>
      <c r="K263" s="197"/>
      <c r="L263" s="197"/>
      <c r="M263" s="197"/>
      <c r="N263" s="197"/>
      <c r="O263" s="197"/>
      <c r="P263" s="197"/>
      <c r="Q263" s="197"/>
      <c r="R263" s="197"/>
      <c r="S263" s="197"/>
      <c r="T263" s="197"/>
      <c r="U263" s="197"/>
      <c r="V263" s="197"/>
      <c r="W263" s="197"/>
      <c r="X263" s="197"/>
      <c r="Y263" s="197"/>
    </row>
    <row r="264">
      <c r="A264" s="197"/>
      <c r="B264" s="197"/>
      <c r="C264" s="197"/>
      <c r="D264" s="197"/>
      <c r="E264" s="197"/>
      <c r="F264" s="197"/>
      <c r="G264" s="197"/>
      <c r="H264" s="197"/>
      <c r="I264" s="197"/>
      <c r="J264" s="197"/>
      <c r="K264" s="197"/>
      <c r="L264" s="197"/>
      <c r="M264" s="197"/>
      <c r="N264" s="197"/>
      <c r="O264" s="197"/>
      <c r="P264" s="197"/>
      <c r="Q264" s="197"/>
      <c r="R264" s="197"/>
      <c r="S264" s="197"/>
      <c r="T264" s="197"/>
      <c r="U264" s="197"/>
      <c r="V264" s="197"/>
      <c r="W264" s="197"/>
      <c r="X264" s="197"/>
      <c r="Y264" s="197"/>
    </row>
    <row r="265">
      <c r="A265" s="197"/>
      <c r="B265" s="197"/>
      <c r="C265" s="197"/>
      <c r="D265" s="197"/>
      <c r="E265" s="197"/>
      <c r="F265" s="197"/>
      <c r="G265" s="197"/>
      <c r="H265" s="197"/>
      <c r="I265" s="197"/>
      <c r="J265" s="197"/>
      <c r="K265" s="197"/>
      <c r="L265" s="197"/>
      <c r="M265" s="197"/>
      <c r="N265" s="197"/>
      <c r="O265" s="197"/>
      <c r="P265" s="197"/>
      <c r="Q265" s="197"/>
      <c r="R265" s="197"/>
      <c r="S265" s="197"/>
      <c r="T265" s="197"/>
      <c r="U265" s="197"/>
      <c r="V265" s="197"/>
      <c r="W265" s="197"/>
      <c r="X265" s="197"/>
      <c r="Y265" s="197"/>
    </row>
    <row r="266">
      <c r="A266" s="197"/>
      <c r="B266" s="197"/>
      <c r="C266" s="197"/>
      <c r="D266" s="197"/>
      <c r="E266" s="197"/>
      <c r="F266" s="197"/>
      <c r="G266" s="197"/>
      <c r="H266" s="197"/>
      <c r="I266" s="197"/>
      <c r="J266" s="197"/>
      <c r="K266" s="197"/>
      <c r="L266" s="197"/>
      <c r="M266" s="197"/>
      <c r="N266" s="197"/>
      <c r="O266" s="197"/>
      <c r="P266" s="197"/>
      <c r="Q266" s="197"/>
      <c r="R266" s="197"/>
      <c r="S266" s="197"/>
      <c r="T266" s="197"/>
      <c r="U266" s="197"/>
      <c r="V266" s="197"/>
      <c r="W266" s="197"/>
      <c r="X266" s="197"/>
      <c r="Y266" s="197"/>
    </row>
    <row r="267">
      <c r="A267" s="197"/>
      <c r="B267" s="197"/>
      <c r="C267" s="197"/>
      <c r="D267" s="197"/>
      <c r="E267" s="197"/>
      <c r="F267" s="197"/>
      <c r="G267" s="197"/>
      <c r="H267" s="197"/>
      <c r="I267" s="197"/>
      <c r="J267" s="197"/>
      <c r="K267" s="197"/>
      <c r="L267" s="197"/>
      <c r="M267" s="197"/>
      <c r="N267" s="197"/>
      <c r="O267" s="197"/>
      <c r="P267" s="197"/>
      <c r="Q267" s="197"/>
      <c r="R267" s="197"/>
      <c r="S267" s="197"/>
      <c r="T267" s="197"/>
      <c r="U267" s="197"/>
      <c r="V267" s="197"/>
      <c r="W267" s="197"/>
      <c r="X267" s="197"/>
      <c r="Y267" s="197"/>
    </row>
    <row r="268">
      <c r="A268" s="197"/>
      <c r="B268" s="197"/>
      <c r="C268" s="197"/>
      <c r="D268" s="197"/>
      <c r="E268" s="197"/>
      <c r="F268" s="197"/>
      <c r="G268" s="197"/>
      <c r="H268" s="197"/>
      <c r="I268" s="197"/>
      <c r="J268" s="197"/>
      <c r="K268" s="197"/>
      <c r="L268" s="197"/>
      <c r="M268" s="197"/>
      <c r="N268" s="197"/>
      <c r="O268" s="197"/>
      <c r="P268" s="197"/>
      <c r="Q268" s="197"/>
      <c r="R268" s="197"/>
      <c r="S268" s="197"/>
      <c r="T268" s="197"/>
      <c r="U268" s="197"/>
      <c r="V268" s="197"/>
      <c r="W268" s="197"/>
      <c r="X268" s="197"/>
      <c r="Y268" s="197"/>
    </row>
    <row r="269">
      <c r="A269" s="197"/>
      <c r="B269" s="197"/>
      <c r="C269" s="197"/>
      <c r="D269" s="197"/>
      <c r="E269" s="197"/>
      <c r="F269" s="197"/>
      <c r="G269" s="197"/>
      <c r="H269" s="197"/>
      <c r="I269" s="197"/>
      <c r="J269" s="197"/>
      <c r="K269" s="197"/>
      <c r="L269" s="197"/>
      <c r="M269" s="197"/>
      <c r="N269" s="197"/>
      <c r="O269" s="197"/>
      <c r="P269" s="197"/>
      <c r="Q269" s="197"/>
      <c r="R269" s="197"/>
      <c r="S269" s="197"/>
      <c r="T269" s="197"/>
      <c r="U269" s="197"/>
      <c r="V269" s="197"/>
      <c r="W269" s="197"/>
      <c r="X269" s="197"/>
      <c r="Y269" s="197"/>
    </row>
    <row r="270">
      <c r="A270" s="197"/>
      <c r="B270" s="197"/>
      <c r="C270" s="197"/>
      <c r="D270" s="197"/>
      <c r="E270" s="197"/>
      <c r="F270" s="197"/>
      <c r="G270" s="197"/>
      <c r="H270" s="197"/>
      <c r="I270" s="197"/>
      <c r="J270" s="197"/>
      <c r="K270" s="197"/>
      <c r="L270" s="197"/>
      <c r="M270" s="197"/>
      <c r="N270" s="197"/>
      <c r="O270" s="197"/>
      <c r="P270" s="197"/>
      <c r="Q270" s="197"/>
      <c r="R270" s="197"/>
      <c r="S270" s="197"/>
      <c r="T270" s="197"/>
      <c r="U270" s="197"/>
      <c r="V270" s="197"/>
      <c r="W270" s="197"/>
      <c r="X270" s="197"/>
      <c r="Y270" s="197"/>
    </row>
    <row r="271">
      <c r="A271" s="197"/>
      <c r="B271" s="197"/>
      <c r="C271" s="197"/>
      <c r="D271" s="197"/>
      <c r="E271" s="197"/>
      <c r="F271" s="197"/>
      <c r="G271" s="197"/>
      <c r="H271" s="197"/>
      <c r="I271" s="197"/>
      <c r="J271" s="197"/>
      <c r="K271" s="197"/>
      <c r="L271" s="197"/>
      <c r="M271" s="197"/>
      <c r="N271" s="197"/>
      <c r="O271" s="197"/>
      <c r="P271" s="197"/>
      <c r="Q271" s="197"/>
      <c r="R271" s="197"/>
      <c r="S271" s="197"/>
      <c r="T271" s="197"/>
      <c r="U271" s="197"/>
      <c r="V271" s="197"/>
      <c r="W271" s="197"/>
      <c r="X271" s="197"/>
      <c r="Y271" s="197"/>
    </row>
    <row r="272">
      <c r="A272" s="197"/>
      <c r="B272" s="197"/>
      <c r="C272" s="197"/>
      <c r="D272" s="197"/>
      <c r="E272" s="197"/>
      <c r="F272" s="197"/>
      <c r="G272" s="197"/>
      <c r="H272" s="197"/>
      <c r="I272" s="197"/>
      <c r="J272" s="197"/>
      <c r="K272" s="197"/>
      <c r="L272" s="197"/>
      <c r="M272" s="197"/>
      <c r="N272" s="197"/>
      <c r="O272" s="197"/>
      <c r="P272" s="197"/>
      <c r="Q272" s="197"/>
      <c r="R272" s="197"/>
      <c r="S272" s="197"/>
      <c r="T272" s="197"/>
      <c r="U272" s="197"/>
      <c r="V272" s="197"/>
      <c r="W272" s="197"/>
      <c r="X272" s="197"/>
      <c r="Y272" s="197"/>
    </row>
    <row r="273">
      <c r="A273" s="197"/>
      <c r="B273" s="197"/>
      <c r="C273" s="197"/>
      <c r="D273" s="197"/>
      <c r="E273" s="197"/>
      <c r="F273" s="197"/>
      <c r="G273" s="197"/>
      <c r="H273" s="197"/>
      <c r="I273" s="197"/>
      <c r="J273" s="197"/>
      <c r="K273" s="197"/>
      <c r="L273" s="197"/>
      <c r="M273" s="197"/>
      <c r="N273" s="197"/>
      <c r="O273" s="197"/>
      <c r="P273" s="197"/>
      <c r="Q273" s="197"/>
      <c r="R273" s="197"/>
      <c r="S273" s="197"/>
      <c r="T273" s="197"/>
      <c r="U273" s="197"/>
      <c r="V273" s="197"/>
      <c r="W273" s="197"/>
      <c r="X273" s="197"/>
      <c r="Y273" s="197"/>
    </row>
    <row r="274">
      <c r="A274" s="197"/>
      <c r="B274" s="197"/>
      <c r="C274" s="197"/>
      <c r="D274" s="197"/>
      <c r="E274" s="197"/>
      <c r="F274" s="197"/>
      <c r="G274" s="197"/>
      <c r="H274" s="197"/>
      <c r="I274" s="197"/>
      <c r="J274" s="197"/>
      <c r="K274" s="197"/>
      <c r="L274" s="197"/>
      <c r="M274" s="197"/>
      <c r="N274" s="197"/>
      <c r="O274" s="197"/>
      <c r="P274" s="197"/>
      <c r="Q274" s="197"/>
      <c r="R274" s="197"/>
      <c r="S274" s="197"/>
      <c r="T274" s="197"/>
      <c r="U274" s="197"/>
      <c r="V274" s="197"/>
      <c r="W274" s="197"/>
      <c r="X274" s="197"/>
      <c r="Y274" s="197"/>
    </row>
    <row r="275">
      <c r="A275" s="197"/>
      <c r="B275" s="197"/>
      <c r="C275" s="197"/>
      <c r="D275" s="197"/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</row>
    <row r="276">
      <c r="A276" s="197"/>
      <c r="B276" s="197"/>
      <c r="C276" s="197"/>
      <c r="D276" s="197"/>
      <c r="E276" s="197"/>
      <c r="F276" s="197"/>
      <c r="G276" s="197"/>
      <c r="H276" s="197"/>
      <c r="I276" s="197"/>
      <c r="J276" s="197"/>
      <c r="K276" s="197"/>
      <c r="L276" s="197"/>
      <c r="M276" s="197"/>
      <c r="N276" s="197"/>
      <c r="O276" s="197"/>
      <c r="P276" s="197"/>
      <c r="Q276" s="197"/>
      <c r="R276" s="197"/>
      <c r="S276" s="197"/>
      <c r="T276" s="197"/>
      <c r="U276" s="197"/>
      <c r="V276" s="197"/>
      <c r="W276" s="197"/>
      <c r="X276" s="197"/>
      <c r="Y276" s="197"/>
    </row>
    <row r="277">
      <c r="A277" s="197"/>
      <c r="B277" s="197"/>
      <c r="C277" s="197"/>
      <c r="D277" s="197"/>
      <c r="E277" s="197"/>
      <c r="F277" s="197"/>
      <c r="G277" s="197"/>
      <c r="H277" s="197"/>
      <c r="I277" s="197"/>
      <c r="J277" s="197"/>
      <c r="K277" s="197"/>
      <c r="L277" s="197"/>
      <c r="M277" s="197"/>
      <c r="N277" s="197"/>
      <c r="O277" s="197"/>
      <c r="P277" s="197"/>
      <c r="Q277" s="197"/>
      <c r="R277" s="197"/>
      <c r="S277" s="197"/>
      <c r="T277" s="197"/>
      <c r="U277" s="197"/>
      <c r="V277" s="197"/>
      <c r="W277" s="197"/>
      <c r="X277" s="197"/>
      <c r="Y277" s="197"/>
    </row>
    <row r="278">
      <c r="A278" s="197"/>
      <c r="B278" s="197"/>
      <c r="C278" s="197"/>
      <c r="D278" s="197"/>
      <c r="E278" s="197"/>
      <c r="F278" s="197"/>
      <c r="G278" s="197"/>
      <c r="H278" s="197"/>
      <c r="I278" s="197"/>
      <c r="J278" s="197"/>
      <c r="K278" s="197"/>
      <c r="L278" s="197"/>
      <c r="M278" s="197"/>
      <c r="N278" s="197"/>
      <c r="O278" s="197"/>
      <c r="P278" s="197"/>
      <c r="Q278" s="197"/>
      <c r="R278" s="197"/>
      <c r="S278" s="197"/>
      <c r="T278" s="197"/>
      <c r="U278" s="197"/>
      <c r="V278" s="197"/>
      <c r="W278" s="197"/>
      <c r="X278" s="197"/>
      <c r="Y278" s="197"/>
    </row>
    <row r="279">
      <c r="A279" s="197"/>
      <c r="B279" s="197"/>
      <c r="C279" s="197"/>
      <c r="D279" s="197"/>
      <c r="E279" s="197"/>
      <c r="F279" s="197"/>
      <c r="G279" s="197"/>
      <c r="H279" s="197"/>
      <c r="I279" s="197"/>
      <c r="J279" s="197"/>
      <c r="K279" s="197"/>
      <c r="L279" s="197"/>
      <c r="M279" s="197"/>
      <c r="N279" s="197"/>
      <c r="O279" s="197"/>
      <c r="P279" s="197"/>
      <c r="Q279" s="197"/>
      <c r="R279" s="197"/>
      <c r="S279" s="197"/>
      <c r="T279" s="197"/>
      <c r="U279" s="197"/>
      <c r="V279" s="197"/>
      <c r="W279" s="197"/>
      <c r="X279" s="197"/>
      <c r="Y279" s="197"/>
    </row>
    <row r="280">
      <c r="A280" s="197"/>
      <c r="B280" s="197"/>
      <c r="C280" s="197"/>
      <c r="D280" s="197"/>
      <c r="E280" s="197"/>
      <c r="F280" s="197"/>
      <c r="G280" s="197"/>
      <c r="H280" s="197"/>
      <c r="I280" s="197"/>
      <c r="J280" s="197"/>
      <c r="K280" s="197"/>
      <c r="L280" s="197"/>
      <c r="M280" s="197"/>
      <c r="N280" s="197"/>
      <c r="O280" s="197"/>
      <c r="P280" s="197"/>
      <c r="Q280" s="197"/>
      <c r="R280" s="197"/>
      <c r="S280" s="197"/>
      <c r="T280" s="197"/>
      <c r="U280" s="197"/>
      <c r="V280" s="197"/>
      <c r="W280" s="197"/>
      <c r="X280" s="197"/>
      <c r="Y280" s="197"/>
    </row>
    <row r="281">
      <c r="A281" s="197"/>
      <c r="B281" s="197"/>
      <c r="C281" s="197"/>
      <c r="D281" s="197"/>
      <c r="E281" s="197"/>
      <c r="F281" s="197"/>
      <c r="G281" s="197"/>
      <c r="H281" s="197"/>
      <c r="I281" s="197"/>
      <c r="J281" s="197"/>
      <c r="K281" s="197"/>
      <c r="L281" s="197"/>
      <c r="M281" s="197"/>
      <c r="N281" s="197"/>
      <c r="O281" s="197"/>
      <c r="P281" s="197"/>
      <c r="Q281" s="197"/>
      <c r="R281" s="197"/>
      <c r="S281" s="197"/>
      <c r="T281" s="197"/>
      <c r="U281" s="197"/>
      <c r="V281" s="197"/>
      <c r="W281" s="197"/>
      <c r="X281" s="197"/>
      <c r="Y281" s="197"/>
    </row>
    <row r="282">
      <c r="A282" s="197"/>
      <c r="B282" s="197"/>
      <c r="C282" s="197"/>
      <c r="D282" s="197"/>
      <c r="E282" s="197"/>
      <c r="F282" s="197"/>
      <c r="G282" s="197"/>
      <c r="H282" s="197"/>
      <c r="I282" s="197"/>
      <c r="J282" s="197"/>
      <c r="K282" s="197"/>
      <c r="L282" s="197"/>
      <c r="M282" s="197"/>
      <c r="N282" s="197"/>
      <c r="O282" s="197"/>
      <c r="P282" s="197"/>
      <c r="Q282" s="197"/>
      <c r="R282" s="197"/>
      <c r="S282" s="197"/>
      <c r="T282" s="197"/>
      <c r="U282" s="197"/>
      <c r="V282" s="197"/>
      <c r="W282" s="197"/>
      <c r="X282" s="197"/>
      <c r="Y282" s="197"/>
    </row>
    <row r="283">
      <c r="A283" s="197"/>
      <c r="B283" s="197"/>
      <c r="C283" s="197"/>
      <c r="D283" s="197"/>
      <c r="E283" s="197"/>
      <c r="F283" s="197"/>
      <c r="G283" s="197"/>
      <c r="H283" s="197"/>
      <c r="I283" s="197"/>
      <c r="J283" s="197"/>
      <c r="K283" s="197"/>
      <c r="L283" s="197"/>
      <c r="M283" s="197"/>
      <c r="N283" s="197"/>
      <c r="O283" s="197"/>
      <c r="P283" s="197"/>
      <c r="Q283" s="197"/>
      <c r="R283" s="197"/>
      <c r="S283" s="197"/>
      <c r="T283" s="197"/>
      <c r="U283" s="197"/>
      <c r="V283" s="197"/>
      <c r="W283" s="197"/>
      <c r="X283" s="197"/>
      <c r="Y283" s="197"/>
    </row>
    <row r="284">
      <c r="A284" s="197"/>
      <c r="B284" s="197"/>
      <c r="C284" s="197"/>
      <c r="D284" s="197"/>
      <c r="E284" s="197"/>
      <c r="F284" s="197"/>
      <c r="G284" s="197"/>
      <c r="H284" s="197"/>
      <c r="I284" s="197"/>
      <c r="J284" s="197"/>
      <c r="K284" s="197"/>
      <c r="L284" s="197"/>
      <c r="M284" s="197"/>
      <c r="N284" s="197"/>
      <c r="O284" s="197"/>
      <c r="P284" s="197"/>
      <c r="Q284" s="197"/>
      <c r="R284" s="197"/>
      <c r="S284" s="197"/>
      <c r="T284" s="197"/>
      <c r="U284" s="197"/>
      <c r="V284" s="197"/>
      <c r="W284" s="197"/>
      <c r="X284" s="197"/>
      <c r="Y284" s="197"/>
    </row>
    <row r="285">
      <c r="A285" s="197"/>
      <c r="B285" s="197"/>
      <c r="C285" s="197"/>
      <c r="D285" s="197"/>
      <c r="E285" s="197"/>
      <c r="F285" s="197"/>
      <c r="G285" s="197"/>
      <c r="H285" s="197"/>
      <c r="I285" s="197"/>
      <c r="J285" s="197"/>
      <c r="K285" s="197"/>
      <c r="L285" s="197"/>
      <c r="M285" s="197"/>
      <c r="N285" s="197"/>
      <c r="O285" s="197"/>
      <c r="P285" s="197"/>
      <c r="Q285" s="197"/>
      <c r="R285" s="197"/>
      <c r="S285" s="197"/>
      <c r="T285" s="197"/>
      <c r="U285" s="197"/>
      <c r="V285" s="197"/>
      <c r="W285" s="197"/>
      <c r="X285" s="197"/>
      <c r="Y285" s="197"/>
    </row>
    <row r="286">
      <c r="A286" s="197"/>
      <c r="B286" s="197"/>
      <c r="C286" s="197"/>
      <c r="D286" s="197"/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  <c r="U286" s="197"/>
      <c r="V286" s="197"/>
      <c r="W286" s="197"/>
      <c r="X286" s="197"/>
      <c r="Y286" s="197"/>
    </row>
    <row r="287">
      <c r="A287" s="197"/>
      <c r="B287" s="197"/>
      <c r="C287" s="197"/>
      <c r="D287" s="197"/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  <c r="U287" s="197"/>
      <c r="V287" s="197"/>
      <c r="W287" s="197"/>
      <c r="X287" s="197"/>
      <c r="Y287" s="197"/>
    </row>
    <row r="288">
      <c r="A288" s="197"/>
      <c r="B288" s="197"/>
      <c r="C288" s="197"/>
      <c r="D288" s="197"/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  <c r="U288" s="197"/>
      <c r="V288" s="197"/>
      <c r="W288" s="197"/>
      <c r="X288" s="197"/>
      <c r="Y288" s="197"/>
    </row>
    <row r="289">
      <c r="A289" s="197"/>
      <c r="B289" s="197"/>
      <c r="C289" s="197"/>
      <c r="D289" s="197"/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  <c r="U289" s="197"/>
      <c r="V289" s="197"/>
      <c r="W289" s="197"/>
      <c r="X289" s="197"/>
      <c r="Y289" s="197"/>
    </row>
    <row r="290">
      <c r="A290" s="197"/>
      <c r="B290" s="197"/>
      <c r="C290" s="197"/>
      <c r="D290" s="197"/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  <c r="U290" s="197"/>
      <c r="V290" s="197"/>
      <c r="W290" s="197"/>
      <c r="X290" s="197"/>
      <c r="Y290" s="197"/>
    </row>
    <row r="291">
      <c r="A291" s="197"/>
      <c r="B291" s="197"/>
      <c r="C291" s="197"/>
      <c r="D291" s="197"/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  <c r="U291" s="197"/>
      <c r="V291" s="197"/>
      <c r="W291" s="197"/>
      <c r="X291" s="197"/>
      <c r="Y291" s="197"/>
    </row>
    <row r="292">
      <c r="A292" s="197"/>
      <c r="B292" s="197"/>
      <c r="C292" s="197"/>
      <c r="D292" s="197"/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  <c r="U292" s="197"/>
      <c r="V292" s="197"/>
      <c r="W292" s="197"/>
      <c r="X292" s="197"/>
      <c r="Y292" s="197"/>
    </row>
    <row r="293">
      <c r="A293" s="197"/>
      <c r="B293" s="197"/>
      <c r="C293" s="197"/>
      <c r="D293" s="197"/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  <c r="U293" s="197"/>
      <c r="V293" s="197"/>
      <c r="W293" s="197"/>
      <c r="X293" s="197"/>
      <c r="Y293" s="197"/>
    </row>
    <row r="294">
      <c r="A294" s="197"/>
      <c r="B294" s="197"/>
      <c r="C294" s="197"/>
      <c r="D294" s="197"/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  <c r="U294" s="197"/>
      <c r="V294" s="197"/>
      <c r="W294" s="197"/>
      <c r="X294" s="197"/>
      <c r="Y294" s="197"/>
    </row>
    <row r="295">
      <c r="A295" s="197"/>
      <c r="B295" s="197"/>
      <c r="C295" s="197"/>
      <c r="D295" s="197"/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  <c r="U295" s="197"/>
      <c r="V295" s="197"/>
      <c r="W295" s="197"/>
      <c r="X295" s="197"/>
      <c r="Y295" s="197"/>
    </row>
    <row r="296">
      <c r="A296" s="197"/>
      <c r="B296" s="197"/>
      <c r="C296" s="197"/>
      <c r="D296" s="197"/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  <c r="U296" s="197"/>
      <c r="V296" s="197"/>
      <c r="W296" s="197"/>
      <c r="X296" s="197"/>
      <c r="Y296" s="197"/>
    </row>
    <row r="297">
      <c r="A297" s="197"/>
      <c r="B297" s="197"/>
      <c r="C297" s="197"/>
      <c r="D297" s="197"/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  <c r="U297" s="197"/>
      <c r="V297" s="197"/>
      <c r="W297" s="197"/>
      <c r="X297" s="197"/>
      <c r="Y297" s="197"/>
    </row>
    <row r="298">
      <c r="A298" s="197"/>
      <c r="B298" s="197"/>
      <c r="C298" s="197"/>
      <c r="D298" s="197"/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  <c r="U298" s="197"/>
      <c r="V298" s="197"/>
      <c r="W298" s="197"/>
      <c r="X298" s="197"/>
      <c r="Y298" s="197"/>
    </row>
    <row r="299">
      <c r="A299" s="197"/>
      <c r="B299" s="197"/>
      <c r="C299" s="197"/>
      <c r="D299" s="197"/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  <c r="U299" s="197"/>
      <c r="V299" s="197"/>
      <c r="W299" s="197"/>
      <c r="X299" s="197"/>
      <c r="Y299" s="197"/>
    </row>
    <row r="300">
      <c r="A300" s="197"/>
      <c r="B300" s="197"/>
      <c r="C300" s="197"/>
      <c r="D300" s="197"/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  <c r="U300" s="197"/>
      <c r="V300" s="197"/>
      <c r="W300" s="197"/>
      <c r="X300" s="197"/>
      <c r="Y300" s="197"/>
    </row>
    <row r="301">
      <c r="A301" s="197"/>
      <c r="B301" s="197"/>
      <c r="C301" s="197"/>
      <c r="D301" s="197"/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  <c r="U301" s="197"/>
      <c r="V301" s="197"/>
      <c r="W301" s="197"/>
      <c r="X301" s="197"/>
      <c r="Y301" s="197"/>
    </row>
    <row r="302">
      <c r="A302" s="197"/>
      <c r="B302" s="197"/>
      <c r="C302" s="197"/>
      <c r="D302" s="197"/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  <c r="U302" s="197"/>
      <c r="V302" s="197"/>
      <c r="W302" s="197"/>
      <c r="X302" s="197"/>
      <c r="Y302" s="197"/>
    </row>
    <row r="303">
      <c r="A303" s="197"/>
      <c r="B303" s="197"/>
      <c r="C303" s="197"/>
      <c r="D303" s="197"/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  <c r="U303" s="197"/>
      <c r="V303" s="197"/>
      <c r="W303" s="197"/>
      <c r="X303" s="197"/>
      <c r="Y303" s="197"/>
    </row>
    <row r="304">
      <c r="A304" s="197"/>
      <c r="B304" s="197"/>
      <c r="C304" s="197"/>
      <c r="D304" s="197"/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  <c r="U304" s="197"/>
      <c r="V304" s="197"/>
      <c r="W304" s="197"/>
      <c r="X304" s="197"/>
      <c r="Y304" s="197"/>
    </row>
    <row r="305">
      <c r="A305" s="197"/>
      <c r="B305" s="197"/>
      <c r="C305" s="197"/>
      <c r="D305" s="197"/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  <c r="U305" s="197"/>
      <c r="V305" s="197"/>
      <c r="W305" s="197"/>
      <c r="X305" s="197"/>
      <c r="Y305" s="197"/>
    </row>
    <row r="306">
      <c r="A306" s="197"/>
      <c r="B306" s="197"/>
      <c r="C306" s="197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</row>
    <row r="307">
      <c r="A307" s="197"/>
      <c r="B307" s="197"/>
      <c r="C307" s="197"/>
      <c r="D307" s="197"/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  <c r="U307" s="197"/>
      <c r="V307" s="197"/>
      <c r="W307" s="197"/>
      <c r="X307" s="197"/>
      <c r="Y307" s="197"/>
    </row>
    <row r="308">
      <c r="A308" s="197"/>
      <c r="B308" s="197"/>
      <c r="C308" s="197"/>
      <c r="D308" s="197"/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  <c r="U308" s="197"/>
      <c r="V308" s="197"/>
      <c r="W308" s="197"/>
      <c r="X308" s="197"/>
      <c r="Y308" s="197"/>
    </row>
    <row r="309">
      <c r="A309" s="197"/>
      <c r="B309" s="197"/>
      <c r="C309" s="197"/>
      <c r="D309" s="197"/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  <c r="U309" s="197"/>
      <c r="V309" s="197"/>
      <c r="W309" s="197"/>
      <c r="X309" s="197"/>
      <c r="Y309" s="197"/>
    </row>
    <row r="310">
      <c r="A310" s="197"/>
      <c r="B310" s="197"/>
      <c r="C310" s="197"/>
      <c r="D310" s="197"/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  <c r="U310" s="197"/>
      <c r="V310" s="197"/>
      <c r="W310" s="197"/>
      <c r="X310" s="197"/>
      <c r="Y310" s="197"/>
    </row>
    <row r="311">
      <c r="A311" s="197"/>
      <c r="B311" s="197"/>
      <c r="C311" s="197"/>
      <c r="D311" s="197"/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  <c r="U311" s="197"/>
      <c r="V311" s="197"/>
      <c r="W311" s="197"/>
      <c r="X311" s="197"/>
      <c r="Y311" s="197"/>
    </row>
    <row r="312">
      <c r="A312" s="197"/>
      <c r="B312" s="197"/>
      <c r="C312" s="197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  <c r="U312" s="197"/>
      <c r="V312" s="197"/>
      <c r="W312" s="197"/>
      <c r="X312" s="197"/>
      <c r="Y312" s="197"/>
    </row>
    <row r="313">
      <c r="A313" s="197"/>
      <c r="B313" s="197"/>
      <c r="C313" s="197"/>
      <c r="D313" s="197"/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  <c r="U313" s="197"/>
      <c r="V313" s="197"/>
      <c r="W313" s="197"/>
      <c r="X313" s="197"/>
      <c r="Y313" s="197"/>
    </row>
    <row r="314">
      <c r="A314" s="197"/>
      <c r="B314" s="197"/>
      <c r="C314" s="197"/>
      <c r="D314" s="197"/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  <c r="U314" s="197"/>
      <c r="V314" s="197"/>
      <c r="W314" s="197"/>
      <c r="X314" s="197"/>
      <c r="Y314" s="197"/>
    </row>
    <row r="315">
      <c r="A315" s="197"/>
      <c r="B315" s="197"/>
      <c r="C315" s="197"/>
      <c r="D315" s="197"/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  <c r="U315" s="197"/>
      <c r="V315" s="197"/>
      <c r="W315" s="197"/>
      <c r="X315" s="197"/>
      <c r="Y315" s="197"/>
    </row>
    <row r="316">
      <c r="A316" s="197"/>
      <c r="B316" s="197"/>
      <c r="C316" s="197"/>
      <c r="D316" s="197"/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  <c r="U316" s="197"/>
      <c r="V316" s="197"/>
      <c r="W316" s="197"/>
      <c r="X316" s="197"/>
      <c r="Y316" s="197"/>
    </row>
    <row r="317">
      <c r="A317" s="197"/>
      <c r="B317" s="197"/>
      <c r="C317" s="197"/>
      <c r="D317" s="197"/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  <c r="U317" s="197"/>
      <c r="V317" s="197"/>
      <c r="W317" s="197"/>
      <c r="X317" s="197"/>
      <c r="Y317" s="197"/>
    </row>
    <row r="318">
      <c r="A318" s="197"/>
      <c r="B318" s="197"/>
      <c r="C318" s="197"/>
      <c r="D318" s="197"/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  <c r="U318" s="197"/>
      <c r="V318" s="197"/>
      <c r="W318" s="197"/>
      <c r="X318" s="197"/>
      <c r="Y318" s="197"/>
    </row>
    <row r="319">
      <c r="A319" s="197"/>
      <c r="B319" s="197"/>
      <c r="C319" s="197"/>
      <c r="D319" s="197"/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  <c r="U319" s="197"/>
      <c r="V319" s="197"/>
      <c r="W319" s="197"/>
      <c r="X319" s="197"/>
      <c r="Y319" s="197"/>
    </row>
    <row r="320">
      <c r="A320" s="197"/>
      <c r="B320" s="197"/>
      <c r="C320" s="197"/>
      <c r="D320" s="197"/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  <c r="U320" s="197"/>
      <c r="V320" s="197"/>
      <c r="W320" s="197"/>
      <c r="X320" s="197"/>
      <c r="Y320" s="197"/>
    </row>
    <row r="321">
      <c r="A321" s="197"/>
      <c r="B321" s="197"/>
      <c r="C321" s="197"/>
      <c r="D321" s="197"/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  <c r="U321" s="197"/>
      <c r="V321" s="197"/>
      <c r="W321" s="197"/>
      <c r="X321" s="197"/>
      <c r="Y321" s="197"/>
    </row>
    <row r="322">
      <c r="A322" s="197"/>
      <c r="B322" s="197"/>
      <c r="C322" s="197"/>
      <c r="D322" s="197"/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  <c r="U322" s="197"/>
      <c r="V322" s="197"/>
      <c r="W322" s="197"/>
      <c r="X322" s="197"/>
      <c r="Y322" s="197"/>
    </row>
    <row r="323">
      <c r="A323" s="197"/>
      <c r="B323" s="197"/>
      <c r="C323" s="197"/>
      <c r="D323" s="197"/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  <c r="U323" s="197"/>
      <c r="V323" s="197"/>
      <c r="W323" s="197"/>
      <c r="X323" s="197"/>
      <c r="Y323" s="197"/>
    </row>
    <row r="324">
      <c r="A324" s="197"/>
      <c r="B324" s="197"/>
      <c r="C324" s="197"/>
      <c r="D324" s="197"/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  <c r="U324" s="197"/>
      <c r="V324" s="197"/>
      <c r="W324" s="197"/>
      <c r="X324" s="197"/>
      <c r="Y324" s="197"/>
    </row>
    <row r="325">
      <c r="A325" s="197"/>
      <c r="B325" s="197"/>
      <c r="C325" s="197"/>
      <c r="D325" s="197"/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  <c r="U325" s="197"/>
      <c r="V325" s="197"/>
      <c r="W325" s="197"/>
      <c r="X325" s="197"/>
      <c r="Y325" s="197"/>
    </row>
    <row r="326">
      <c r="A326" s="197"/>
      <c r="B326" s="197"/>
      <c r="C326" s="197"/>
      <c r="D326" s="197"/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  <c r="U326" s="197"/>
      <c r="V326" s="197"/>
      <c r="W326" s="197"/>
      <c r="X326" s="197"/>
      <c r="Y326" s="197"/>
    </row>
    <row r="327">
      <c r="A327" s="197"/>
      <c r="B327" s="197"/>
      <c r="C327" s="197"/>
      <c r="D327" s="197"/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  <c r="U327" s="197"/>
      <c r="V327" s="197"/>
      <c r="W327" s="197"/>
      <c r="X327" s="197"/>
      <c r="Y327" s="197"/>
    </row>
    <row r="328">
      <c r="A328" s="197"/>
      <c r="B328" s="197"/>
      <c r="C328" s="197"/>
      <c r="D328" s="197"/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  <c r="U328" s="197"/>
      <c r="V328" s="197"/>
      <c r="W328" s="197"/>
      <c r="X328" s="197"/>
      <c r="Y328" s="197"/>
    </row>
    <row r="329">
      <c r="A329" s="197"/>
      <c r="B329" s="197"/>
      <c r="C329" s="197"/>
      <c r="D329" s="197"/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  <c r="U329" s="197"/>
      <c r="V329" s="197"/>
      <c r="W329" s="197"/>
      <c r="X329" s="197"/>
      <c r="Y329" s="197"/>
    </row>
    <row r="330">
      <c r="A330" s="197"/>
      <c r="B330" s="197"/>
      <c r="C330" s="197"/>
      <c r="D330" s="197"/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  <c r="U330" s="197"/>
      <c r="V330" s="197"/>
      <c r="W330" s="197"/>
      <c r="X330" s="197"/>
      <c r="Y330" s="197"/>
    </row>
    <row r="331">
      <c r="A331" s="197"/>
      <c r="B331" s="197"/>
      <c r="C331" s="197"/>
      <c r="D331" s="197"/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  <c r="U331" s="197"/>
      <c r="V331" s="197"/>
      <c r="W331" s="197"/>
      <c r="X331" s="197"/>
      <c r="Y331" s="197"/>
    </row>
    <row r="332">
      <c r="A332" s="197"/>
      <c r="B332" s="197"/>
      <c r="C332" s="197"/>
      <c r="D332" s="197"/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  <c r="U332" s="197"/>
      <c r="V332" s="197"/>
      <c r="W332" s="197"/>
      <c r="X332" s="197"/>
      <c r="Y332" s="197"/>
    </row>
    <row r="333">
      <c r="A333" s="197"/>
      <c r="B333" s="197"/>
      <c r="C333" s="197"/>
      <c r="D333" s="197"/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  <c r="U333" s="197"/>
      <c r="V333" s="197"/>
      <c r="W333" s="197"/>
      <c r="X333" s="197"/>
      <c r="Y333" s="197"/>
    </row>
    <row r="334">
      <c r="A334" s="197"/>
      <c r="B334" s="197"/>
      <c r="C334" s="197"/>
      <c r="D334" s="197"/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  <c r="U334" s="197"/>
      <c r="V334" s="197"/>
      <c r="W334" s="197"/>
      <c r="X334" s="197"/>
      <c r="Y334" s="197"/>
    </row>
    <row r="335">
      <c r="A335" s="197"/>
      <c r="B335" s="197"/>
      <c r="C335" s="197"/>
      <c r="D335" s="197"/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  <c r="U335" s="197"/>
      <c r="V335" s="197"/>
      <c r="W335" s="197"/>
      <c r="X335" s="197"/>
      <c r="Y335" s="197"/>
    </row>
    <row r="336">
      <c r="A336" s="197"/>
      <c r="B336" s="197"/>
      <c r="C336" s="197"/>
      <c r="D336" s="197"/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</row>
    <row r="337">
      <c r="A337" s="197"/>
      <c r="B337" s="197"/>
      <c r="C337" s="197"/>
      <c r="D337" s="197"/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  <c r="U337" s="197"/>
      <c r="V337" s="197"/>
      <c r="W337" s="197"/>
      <c r="X337" s="197"/>
      <c r="Y337" s="197"/>
    </row>
    <row r="338">
      <c r="A338" s="197"/>
      <c r="B338" s="197"/>
      <c r="C338" s="197"/>
      <c r="D338" s="197"/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  <c r="U338" s="197"/>
      <c r="V338" s="197"/>
      <c r="W338" s="197"/>
      <c r="X338" s="197"/>
      <c r="Y338" s="197"/>
    </row>
    <row r="339">
      <c r="A339" s="197"/>
      <c r="B339" s="197"/>
      <c r="C339" s="197"/>
      <c r="D339" s="197"/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  <c r="U339" s="197"/>
      <c r="V339" s="197"/>
      <c r="W339" s="197"/>
      <c r="X339" s="197"/>
      <c r="Y339" s="197"/>
    </row>
    <row r="340">
      <c r="A340" s="197"/>
      <c r="B340" s="197"/>
      <c r="C340" s="197"/>
      <c r="D340" s="197"/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  <c r="U340" s="197"/>
      <c r="V340" s="197"/>
      <c r="W340" s="197"/>
      <c r="X340" s="197"/>
      <c r="Y340" s="197"/>
    </row>
    <row r="341">
      <c r="A341" s="197"/>
      <c r="B341" s="197"/>
      <c r="C341" s="197"/>
      <c r="D341" s="197"/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  <c r="U341" s="197"/>
      <c r="V341" s="197"/>
      <c r="W341" s="197"/>
      <c r="X341" s="197"/>
      <c r="Y341" s="197"/>
    </row>
    <row r="342">
      <c r="A342" s="197"/>
      <c r="B342" s="197"/>
      <c r="C342" s="197"/>
      <c r="D342" s="197"/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  <c r="U342" s="197"/>
      <c r="V342" s="197"/>
      <c r="W342" s="197"/>
      <c r="X342" s="197"/>
      <c r="Y342" s="197"/>
    </row>
    <row r="343">
      <c r="A343" s="197"/>
      <c r="B343" s="197"/>
      <c r="C343" s="197"/>
      <c r="D343" s="197"/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  <c r="U343" s="197"/>
      <c r="V343" s="197"/>
      <c r="W343" s="197"/>
      <c r="X343" s="197"/>
      <c r="Y343" s="197"/>
    </row>
    <row r="344">
      <c r="A344" s="197"/>
      <c r="B344" s="197"/>
      <c r="C344" s="197"/>
      <c r="D344" s="197"/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  <c r="U344" s="197"/>
      <c r="V344" s="197"/>
      <c r="W344" s="197"/>
      <c r="X344" s="197"/>
      <c r="Y344" s="197"/>
    </row>
    <row r="345">
      <c r="A345" s="197"/>
      <c r="B345" s="197"/>
      <c r="C345" s="197"/>
      <c r="D345" s="197"/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  <c r="U345" s="197"/>
      <c r="V345" s="197"/>
      <c r="W345" s="197"/>
      <c r="X345" s="197"/>
      <c r="Y345" s="197"/>
    </row>
    <row r="346">
      <c r="A346" s="197"/>
      <c r="B346" s="197"/>
      <c r="C346" s="197"/>
      <c r="D346" s="197"/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  <c r="U346" s="197"/>
      <c r="V346" s="197"/>
      <c r="W346" s="197"/>
      <c r="X346" s="197"/>
      <c r="Y346" s="197"/>
    </row>
    <row r="347">
      <c r="A347" s="197"/>
      <c r="B347" s="197"/>
      <c r="C347" s="197"/>
      <c r="D347" s="197"/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  <c r="U347" s="197"/>
      <c r="V347" s="197"/>
      <c r="W347" s="197"/>
      <c r="X347" s="197"/>
      <c r="Y347" s="197"/>
    </row>
    <row r="348">
      <c r="A348" s="197"/>
      <c r="B348" s="197"/>
      <c r="C348" s="197"/>
      <c r="D348" s="197"/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  <c r="U348" s="197"/>
      <c r="V348" s="197"/>
      <c r="W348" s="197"/>
      <c r="X348" s="197"/>
      <c r="Y348" s="197"/>
    </row>
    <row r="349">
      <c r="A349" s="197"/>
      <c r="B349" s="197"/>
      <c r="C349" s="197"/>
      <c r="D349" s="197"/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  <c r="U349" s="197"/>
      <c r="V349" s="197"/>
      <c r="W349" s="197"/>
      <c r="X349" s="197"/>
      <c r="Y349" s="197"/>
    </row>
    <row r="350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</row>
    <row r="351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</row>
    <row r="352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</row>
    <row r="353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</row>
    <row r="354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</row>
    <row r="35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</row>
    <row r="356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</row>
    <row r="357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</row>
    <row r="358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</row>
    <row r="359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</row>
    <row r="360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</row>
    <row r="361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</row>
    <row r="362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</row>
    <row r="363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</row>
    <row r="364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</row>
    <row r="36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</row>
    <row r="366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</row>
    <row r="367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</row>
    <row r="368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</row>
    <row r="369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</row>
    <row r="370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</row>
    <row r="371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</row>
    <row r="372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</row>
    <row r="373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</row>
    <row r="374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</row>
    <row r="37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</row>
    <row r="376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</row>
    <row r="377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</row>
    <row r="378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</row>
    <row r="379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</row>
    <row r="380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</row>
    <row r="381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</row>
    <row r="382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</row>
    <row r="383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</row>
    <row r="384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</row>
    <row r="38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</row>
    <row r="386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</row>
    <row r="387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</row>
    <row r="388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</row>
    <row r="389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</row>
    <row r="390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</row>
    <row r="391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</row>
    <row r="392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</row>
    <row r="393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</row>
    <row r="394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</row>
    <row r="39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</row>
    <row r="396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</row>
    <row r="397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</row>
    <row r="398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</row>
    <row r="399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</row>
    <row r="400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</row>
    <row r="401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</row>
    <row r="402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</row>
    <row r="403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</row>
    <row r="404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</row>
    <row r="40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</row>
    <row r="406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</row>
    <row r="407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</row>
    <row r="408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</row>
    <row r="409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</row>
    <row r="410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</row>
    <row r="411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</row>
    <row r="412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</row>
    <row r="413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</row>
    <row r="414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</row>
    <row r="41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</row>
    <row r="416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</row>
    <row r="417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</row>
    <row r="418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</row>
    <row r="419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</row>
    <row r="420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</row>
    <row r="421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</row>
    <row r="422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</row>
    <row r="423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</row>
    <row r="424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</row>
    <row r="4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</row>
    <row r="426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</row>
    <row r="427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</row>
    <row r="428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</row>
    <row r="429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</row>
    <row r="430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</row>
    <row r="431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</row>
    <row r="432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</row>
    <row r="433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</row>
    <row r="434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</row>
    <row r="43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</row>
    <row r="436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</row>
    <row r="437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</row>
    <row r="438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</row>
    <row r="439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</row>
    <row r="440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</row>
    <row r="441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</row>
    <row r="442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</row>
    <row r="443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</row>
    <row r="444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</row>
    <row r="44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</row>
    <row r="446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</row>
    <row r="447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</row>
    <row r="448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</row>
    <row r="449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</row>
    <row r="450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</row>
    <row r="451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</row>
    <row r="452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</row>
    <row r="453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</row>
    <row r="454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</row>
    <row r="45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</row>
    <row r="456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</row>
    <row r="457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</row>
    <row r="458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</row>
    <row r="459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</row>
    <row r="460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</row>
    <row r="461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</row>
    <row r="462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</row>
    <row r="463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</row>
    <row r="464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</row>
    <row r="46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</row>
    <row r="466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</row>
    <row r="467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</row>
    <row r="468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</row>
    <row r="469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</row>
    <row r="470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</row>
    <row r="471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</row>
    <row r="472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</row>
    <row r="473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</row>
    <row r="474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</row>
    <row r="47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</row>
    <row r="476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</row>
    <row r="477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</row>
    <row r="478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</row>
    <row r="479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</row>
    <row r="480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</row>
    <row r="481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</row>
    <row r="482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</row>
    <row r="483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</row>
    <row r="484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</row>
    <row r="48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</row>
    <row r="486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</row>
    <row r="487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</row>
    <row r="488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</row>
    <row r="489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</row>
    <row r="490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</row>
    <row r="491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</row>
    <row r="492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</row>
    <row r="493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</row>
    <row r="494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</row>
    <row r="49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</row>
    <row r="496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</row>
    <row r="497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</row>
    <row r="498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</row>
    <row r="499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</row>
    <row r="500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</row>
    <row r="501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</row>
    <row r="502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</row>
    <row r="503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</row>
    <row r="504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</row>
    <row r="50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</row>
    <row r="506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</row>
    <row r="507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</row>
    <row r="508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</row>
    <row r="509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</row>
    <row r="510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</row>
    <row r="511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</row>
    <row r="512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</row>
    <row r="513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</row>
    <row r="514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</row>
    <row r="51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</row>
    <row r="516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</row>
    <row r="517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</row>
    <row r="518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</row>
    <row r="519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</row>
    <row r="520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</row>
    <row r="521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</row>
    <row r="522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</row>
    <row r="523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</row>
    <row r="524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</row>
    <row r="5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</row>
    <row r="526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</row>
    <row r="527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</row>
    <row r="528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</row>
    <row r="529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</row>
    <row r="530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</row>
    <row r="531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</row>
    <row r="532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</row>
    <row r="533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</row>
    <row r="534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</row>
    <row r="53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</row>
    <row r="536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</row>
    <row r="537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</row>
    <row r="538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</row>
    <row r="539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</row>
    <row r="540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</row>
    <row r="541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</row>
    <row r="542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</row>
    <row r="543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</row>
    <row r="544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</row>
    <row r="54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</row>
    <row r="546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</row>
    <row r="547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</row>
    <row r="548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</row>
    <row r="549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</row>
    <row r="550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</row>
    <row r="551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</row>
    <row r="552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</row>
    <row r="553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</row>
    <row r="554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</row>
    <row r="55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</row>
    <row r="556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</row>
    <row r="557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</row>
    <row r="558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</row>
    <row r="559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</row>
    <row r="560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</row>
    <row r="561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</row>
    <row r="562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</row>
    <row r="563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</row>
    <row r="564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</row>
    <row r="56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</row>
    <row r="566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</row>
    <row r="567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</row>
    <row r="568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</row>
    <row r="569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</row>
    <row r="570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</row>
    <row r="571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</row>
    <row r="572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</row>
    <row r="573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</row>
    <row r="574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</row>
    <row r="57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</row>
    <row r="576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</row>
    <row r="577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</row>
    <row r="578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</row>
    <row r="579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</row>
    <row r="580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</row>
    <row r="581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</row>
    <row r="582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</row>
    <row r="583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</row>
    <row r="584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</row>
    <row r="58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</row>
    <row r="586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</row>
    <row r="587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</row>
    <row r="588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</row>
    <row r="589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</row>
    <row r="590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</row>
    <row r="591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</row>
    <row r="592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</row>
    <row r="593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</row>
    <row r="594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</row>
    <row r="59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</row>
    <row r="596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</row>
    <row r="597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</row>
    <row r="598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</row>
    <row r="599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</row>
    <row r="600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</row>
    <row r="601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</row>
    <row r="602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</row>
    <row r="603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</row>
    <row r="604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</row>
    <row r="60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</row>
    <row r="606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</row>
    <row r="607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</row>
    <row r="608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</row>
    <row r="609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</row>
    <row r="610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</row>
    <row r="611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</row>
    <row r="612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</row>
    <row r="613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</row>
    <row r="614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</row>
    <row r="61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</row>
    <row r="616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</row>
    <row r="617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</row>
    <row r="618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</row>
    <row r="619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</row>
    <row r="620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</row>
    <row r="621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</row>
    <row r="622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</row>
    <row r="623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</row>
    <row r="624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</row>
    <row r="6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</row>
    <row r="626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</row>
    <row r="627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</row>
    <row r="628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</row>
    <row r="629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</row>
    <row r="630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</row>
    <row r="631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</row>
    <row r="632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</row>
    <row r="633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</row>
    <row r="634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</row>
    <row r="63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</row>
    <row r="636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</row>
    <row r="637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</row>
    <row r="638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</row>
    <row r="639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</row>
    <row r="640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</row>
    <row r="641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</row>
    <row r="642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</row>
    <row r="643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</row>
    <row r="644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</row>
    <row r="64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</row>
    <row r="646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</row>
    <row r="647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</row>
    <row r="648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</row>
    <row r="649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</row>
    <row r="650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</row>
    <row r="651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</row>
    <row r="652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</row>
    <row r="653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</row>
    <row r="654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</row>
    <row r="65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</row>
    <row r="656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</row>
    <row r="657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</row>
    <row r="658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</row>
    <row r="659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</row>
    <row r="660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</row>
    <row r="661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</row>
    <row r="662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</row>
    <row r="663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</row>
    <row r="664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</row>
    <row r="66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</row>
    <row r="666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</row>
    <row r="667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</row>
    <row r="668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</row>
    <row r="669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</row>
    <row r="670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</row>
    <row r="671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</row>
    <row r="672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</row>
    <row r="673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</row>
    <row r="674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</row>
    <row r="67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</row>
    <row r="676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</row>
    <row r="677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</row>
    <row r="678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</row>
    <row r="679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</row>
    <row r="680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</row>
    <row r="681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</row>
    <row r="682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</row>
    <row r="683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</row>
    <row r="684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</row>
    <row r="68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</row>
    <row r="686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</row>
    <row r="687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</row>
    <row r="688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</row>
    <row r="689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</row>
    <row r="690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</row>
    <row r="691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</row>
    <row r="692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</row>
    <row r="693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</row>
    <row r="694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</row>
    <row r="69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</row>
    <row r="696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</row>
    <row r="697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</row>
    <row r="698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</row>
    <row r="699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</row>
    <row r="700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</row>
    <row r="701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</row>
    <row r="702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</row>
    <row r="703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</row>
    <row r="704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</row>
    <row r="70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</row>
    <row r="706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</row>
    <row r="707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</row>
    <row r="708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</row>
    <row r="709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</row>
    <row r="710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</row>
    <row r="711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</row>
    <row r="712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</row>
    <row r="713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</row>
    <row r="714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</row>
    <row r="71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</row>
    <row r="716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</row>
    <row r="717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</row>
    <row r="718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</row>
    <row r="719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</row>
    <row r="720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</row>
    <row r="721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</row>
    <row r="722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</row>
    <row r="723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</row>
    <row r="724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</row>
    <row r="7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</row>
    <row r="726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</row>
    <row r="727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</row>
    <row r="728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</row>
    <row r="729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</row>
    <row r="730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</row>
    <row r="731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</row>
    <row r="732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</row>
    <row r="733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</row>
    <row r="734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</row>
    <row r="73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</row>
    <row r="736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</row>
    <row r="737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</row>
    <row r="738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</row>
    <row r="739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</row>
    <row r="740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</row>
    <row r="741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</row>
    <row r="742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</row>
    <row r="743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</row>
    <row r="744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</row>
    <row r="74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</row>
    <row r="746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</row>
    <row r="747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</row>
    <row r="748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</row>
    <row r="749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</row>
    <row r="750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</row>
    <row r="751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</row>
    <row r="752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</row>
    <row r="753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</row>
    <row r="754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</row>
    <row r="75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</row>
    <row r="756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</row>
    <row r="757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</row>
    <row r="758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</row>
    <row r="759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</row>
    <row r="760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</row>
    <row r="761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</row>
    <row r="762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</row>
    <row r="763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</row>
    <row r="764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</row>
    <row r="76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</row>
    <row r="766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</row>
    <row r="767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</row>
    <row r="768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</row>
    <row r="769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</row>
    <row r="770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</row>
    <row r="771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</row>
    <row r="772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</row>
    <row r="773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</row>
    <row r="774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</row>
    <row r="77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</row>
    <row r="776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</row>
    <row r="777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</row>
    <row r="778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</row>
    <row r="779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</row>
    <row r="780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</row>
    <row r="781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</row>
    <row r="782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</row>
    <row r="783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</row>
    <row r="784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</row>
    <row r="78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</row>
    <row r="786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</row>
    <row r="787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</row>
    <row r="788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</row>
    <row r="789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</row>
    <row r="790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</row>
    <row r="791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</row>
    <row r="792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</row>
    <row r="793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</row>
    <row r="794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</row>
    <row r="79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</row>
    <row r="796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</row>
    <row r="797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</row>
    <row r="798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</row>
    <row r="799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</row>
    <row r="800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</row>
    <row r="801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</row>
    <row r="802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</row>
    <row r="803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</row>
    <row r="804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</row>
    <row r="80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</row>
    <row r="806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</row>
    <row r="807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</row>
    <row r="808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</row>
    <row r="809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</row>
    <row r="810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</row>
    <row r="811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</row>
    <row r="812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</row>
    <row r="813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</row>
    <row r="814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</row>
    <row r="81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</row>
    <row r="816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</row>
    <row r="817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</row>
    <row r="818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</row>
    <row r="819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</row>
    <row r="820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</row>
    <row r="821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</row>
    <row r="822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</row>
    <row r="823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</row>
    <row r="824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</row>
    <row r="8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</row>
    <row r="826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</row>
    <row r="827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</row>
    <row r="828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</row>
    <row r="829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</row>
    <row r="830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</row>
    <row r="831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</row>
    <row r="832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</row>
    <row r="833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</row>
    <row r="834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</row>
    <row r="83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</row>
    <row r="836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</row>
    <row r="837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</row>
    <row r="838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</row>
    <row r="839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</row>
    <row r="840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</row>
    <row r="841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</row>
    <row r="842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</row>
    <row r="843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</row>
    <row r="844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</row>
    <row r="84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</row>
    <row r="846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</row>
    <row r="847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</row>
    <row r="848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</row>
    <row r="849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</row>
    <row r="850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</row>
    <row r="851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</row>
    <row r="852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</row>
    <row r="853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</row>
    <row r="854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</row>
    <row r="85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</row>
    <row r="856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</row>
    <row r="857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</row>
    <row r="858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</row>
    <row r="859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</row>
    <row r="860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</row>
    <row r="861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</row>
    <row r="862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</row>
    <row r="863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</row>
    <row r="864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</row>
    <row r="86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</row>
    <row r="866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</row>
    <row r="867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</row>
    <row r="868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</row>
    <row r="869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</row>
    <row r="870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</row>
    <row r="871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</row>
    <row r="872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</row>
    <row r="873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</row>
    <row r="874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</row>
    <row r="87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</row>
    <row r="876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</row>
    <row r="877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</row>
    <row r="878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</row>
    <row r="879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</row>
    <row r="880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</row>
    <row r="881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</row>
    <row r="882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</row>
    <row r="883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</row>
    <row r="884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</row>
    <row r="88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</row>
    <row r="886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</row>
    <row r="887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</row>
    <row r="888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</row>
    <row r="889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</row>
    <row r="890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</row>
    <row r="891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</row>
    <row r="892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</row>
    <row r="893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</row>
    <row r="894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</row>
    <row r="89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</row>
    <row r="896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</row>
    <row r="897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</row>
    <row r="898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</row>
    <row r="899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</row>
    <row r="900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</row>
    <row r="901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</row>
    <row r="902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</row>
    <row r="903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</row>
    <row r="904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</row>
    <row r="90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</row>
    <row r="906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</row>
    <row r="907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</row>
    <row r="908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</row>
    <row r="909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</row>
    <row r="910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</row>
    <row r="911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</row>
    <row r="912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</row>
    <row r="913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</row>
    <row r="914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</row>
    <row r="91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</row>
    <row r="916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</row>
    <row r="917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</row>
    <row r="918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</row>
    <row r="919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</row>
    <row r="920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</row>
    <row r="921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</row>
    <row r="922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</row>
    <row r="923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</row>
    <row r="924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</row>
    <row r="9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</row>
    <row r="926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</row>
    <row r="927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</row>
    <row r="928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</row>
    <row r="929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</row>
    <row r="930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</row>
    <row r="931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</row>
    <row r="932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</row>
    <row r="933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</row>
    <row r="934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</row>
    <row r="93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</row>
    <row r="936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</row>
    <row r="937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</row>
    <row r="938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</row>
    <row r="939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</row>
    <row r="940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</row>
    <row r="941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</row>
    <row r="942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</row>
    <row r="943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</row>
    <row r="944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</row>
    <row r="94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</row>
    <row r="946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</row>
    <row r="947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</row>
    <row r="948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</row>
    <row r="949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</row>
    <row r="950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</row>
    <row r="951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</row>
    <row r="952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</row>
    <row r="953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</row>
    <row r="954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</row>
    <row r="95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</row>
    <row r="956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</row>
    <row r="957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</row>
    <row r="958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</row>
    <row r="959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</row>
    <row r="960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</row>
    <row r="961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</row>
    <row r="962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</row>
    <row r="963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</row>
    <row r="964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</row>
    <row r="96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</row>
    <row r="966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</row>
    <row r="967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</row>
    <row r="968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</row>
    <row r="969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</row>
    <row r="970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</row>
    <row r="971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</row>
    <row r="972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</row>
    <row r="973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</row>
    <row r="974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</row>
    <row r="97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</row>
    <row r="976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</row>
    <row r="977">
      <c r="A977" s="197"/>
      <c r="B977" s="197"/>
      <c r="C977" s="197"/>
      <c r="D977" s="197"/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  <c r="U977" s="197"/>
      <c r="V977" s="197"/>
      <c r="W977" s="197"/>
      <c r="X977" s="197"/>
      <c r="Y977" s="197"/>
    </row>
    <row r="978">
      <c r="A978" s="197"/>
      <c r="B978" s="197"/>
      <c r="C978" s="197"/>
      <c r="D978" s="197"/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  <c r="U978" s="197"/>
      <c r="V978" s="197"/>
      <c r="W978" s="197"/>
      <c r="X978" s="197"/>
      <c r="Y978" s="197"/>
    </row>
    <row r="979">
      <c r="A979" s="197"/>
      <c r="B979" s="197"/>
      <c r="C979" s="197"/>
      <c r="D979" s="197"/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  <c r="U979" s="197"/>
      <c r="V979" s="197"/>
      <c r="W979" s="197"/>
      <c r="X979" s="197"/>
      <c r="Y979" s="197"/>
    </row>
    <row r="980">
      <c r="A980" s="197"/>
      <c r="B980" s="197"/>
      <c r="C980" s="197"/>
      <c r="D980" s="197"/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  <c r="U980" s="197"/>
      <c r="V980" s="197"/>
      <c r="W980" s="197"/>
      <c r="X980" s="197"/>
      <c r="Y980" s="197"/>
    </row>
    <row r="981">
      <c r="A981" s="197"/>
      <c r="B981" s="197"/>
      <c r="C981" s="197"/>
      <c r="D981" s="197"/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  <c r="U981" s="197"/>
      <c r="V981" s="197"/>
      <c r="W981" s="197"/>
      <c r="X981" s="197"/>
      <c r="Y981" s="197"/>
    </row>
    <row r="982">
      <c r="A982" s="197"/>
      <c r="B982" s="197"/>
      <c r="C982" s="197"/>
      <c r="D982" s="197"/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  <c r="U982" s="197"/>
      <c r="V982" s="197"/>
      <c r="W982" s="197"/>
      <c r="X982" s="197"/>
      <c r="Y982" s="197"/>
    </row>
    <row r="983">
      <c r="A983" s="197"/>
      <c r="B983" s="197"/>
      <c r="C983" s="197"/>
      <c r="D983" s="197"/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  <c r="U983" s="197"/>
      <c r="V983" s="197"/>
      <c r="W983" s="197"/>
      <c r="X983" s="197"/>
      <c r="Y983" s="197"/>
    </row>
    <row r="984">
      <c r="A984" s="197"/>
      <c r="B984" s="197"/>
      <c r="C984" s="197"/>
      <c r="D984" s="197"/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  <c r="U984" s="197"/>
      <c r="V984" s="197"/>
      <c r="W984" s="197"/>
      <c r="X984" s="197"/>
      <c r="Y984" s="197"/>
    </row>
    <row r="985">
      <c r="A985" s="197"/>
      <c r="B985" s="197"/>
      <c r="C985" s="197"/>
      <c r="D985" s="197"/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  <c r="U985" s="197"/>
      <c r="V985" s="197"/>
      <c r="W985" s="197"/>
      <c r="X985" s="197"/>
      <c r="Y985" s="197"/>
    </row>
    <row r="986">
      <c r="A986" s="197"/>
      <c r="B986" s="197"/>
      <c r="C986" s="197"/>
      <c r="D986" s="197"/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  <c r="U986" s="197"/>
      <c r="V986" s="197"/>
      <c r="W986" s="197"/>
      <c r="X986" s="197"/>
      <c r="Y986" s="197"/>
    </row>
    <row r="987">
      <c r="A987" s="197"/>
      <c r="B987" s="197"/>
      <c r="C987" s="197"/>
      <c r="D987" s="197"/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  <c r="U987" s="197"/>
      <c r="V987" s="197"/>
      <c r="W987" s="197"/>
      <c r="X987" s="197"/>
      <c r="Y987" s="197"/>
    </row>
    <row r="988">
      <c r="A988" s="197"/>
      <c r="B988" s="197"/>
      <c r="C988" s="197"/>
      <c r="D988" s="197"/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  <c r="U988" s="197"/>
      <c r="V988" s="197"/>
      <c r="W988" s="197"/>
      <c r="X988" s="197"/>
      <c r="Y988" s="197"/>
    </row>
    <row r="989">
      <c r="A989" s="197"/>
      <c r="B989" s="197"/>
      <c r="C989" s="197"/>
      <c r="D989" s="197"/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  <c r="U989" s="197"/>
      <c r="V989" s="197"/>
      <c r="W989" s="197"/>
      <c r="X989" s="197"/>
      <c r="Y989" s="197"/>
    </row>
    <row r="990">
      <c r="A990" s="197"/>
      <c r="B990" s="197"/>
      <c r="C990" s="197"/>
      <c r="D990" s="197"/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  <c r="U990" s="197"/>
      <c r="V990" s="197"/>
      <c r="W990" s="197"/>
      <c r="X990" s="197"/>
      <c r="Y990" s="197"/>
    </row>
    <row r="991">
      <c r="A991" s="197"/>
      <c r="B991" s="197"/>
      <c r="C991" s="197"/>
      <c r="D991" s="197"/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  <c r="U991" s="197"/>
      <c r="V991" s="197"/>
      <c r="W991" s="197"/>
      <c r="X991" s="197"/>
      <c r="Y991" s="197"/>
    </row>
    <row r="992">
      <c r="A992" s="197"/>
      <c r="B992" s="197"/>
      <c r="C992" s="197"/>
      <c r="D992" s="197"/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  <c r="U992" s="197"/>
      <c r="V992" s="197"/>
      <c r="W992" s="197"/>
      <c r="X992" s="197"/>
      <c r="Y992" s="197"/>
    </row>
    <row r="993">
      <c r="A993" s="197"/>
      <c r="B993" s="197"/>
      <c r="C993" s="197"/>
      <c r="D993" s="197"/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  <c r="U993" s="197"/>
      <c r="V993" s="197"/>
      <c r="W993" s="197"/>
      <c r="X993" s="197"/>
      <c r="Y993" s="197"/>
    </row>
    <row r="994">
      <c r="A994" s="197"/>
      <c r="B994" s="197"/>
      <c r="C994" s="197"/>
      <c r="D994" s="197"/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  <c r="U994" s="197"/>
      <c r="V994" s="197"/>
      <c r="W994" s="197"/>
      <c r="X994" s="197"/>
      <c r="Y994" s="197"/>
    </row>
    <row r="995">
      <c r="A995" s="197"/>
      <c r="B995" s="197"/>
      <c r="C995" s="197"/>
      <c r="D995" s="197"/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  <c r="U995" s="197"/>
      <c r="V995" s="197"/>
      <c r="W995" s="197"/>
      <c r="X995" s="197"/>
      <c r="Y995" s="197"/>
    </row>
    <row r="996">
      <c r="A996" s="197"/>
      <c r="B996" s="197"/>
      <c r="C996" s="197"/>
      <c r="D996" s="197"/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  <c r="U996" s="197"/>
      <c r="V996" s="197"/>
      <c r="W996" s="197"/>
      <c r="X996" s="197"/>
      <c r="Y996" s="197"/>
    </row>
    <row r="997">
      <c r="A997" s="197"/>
      <c r="B997" s="197"/>
      <c r="C997" s="197"/>
      <c r="D997" s="197"/>
      <c r="E997" s="197"/>
      <c r="F997" s="197"/>
      <c r="G997" s="197"/>
      <c r="H997" s="197"/>
      <c r="I997" s="197"/>
      <c r="J997" s="197"/>
      <c r="K997" s="197"/>
      <c r="L997" s="197"/>
      <c r="M997" s="197"/>
      <c r="N997" s="197"/>
      <c r="O997" s="197"/>
      <c r="P997" s="197"/>
      <c r="Q997" s="197"/>
      <c r="R997" s="197"/>
      <c r="S997" s="197"/>
      <c r="T997" s="197"/>
      <c r="U997" s="197"/>
      <c r="V997" s="197"/>
      <c r="W997" s="197"/>
      <c r="X997" s="197"/>
      <c r="Y997" s="197"/>
    </row>
    <row r="998">
      <c r="A998" s="197"/>
      <c r="B998" s="197"/>
      <c r="C998" s="197"/>
      <c r="D998" s="197"/>
      <c r="E998" s="197"/>
      <c r="F998" s="197"/>
      <c r="G998" s="197"/>
      <c r="H998" s="197"/>
      <c r="I998" s="197"/>
      <c r="J998" s="197"/>
      <c r="K998" s="197"/>
      <c r="L998" s="197"/>
      <c r="M998" s="197"/>
      <c r="N998" s="197"/>
      <c r="O998" s="197"/>
      <c r="P998" s="197"/>
      <c r="Q998" s="197"/>
      <c r="R998" s="197"/>
      <c r="S998" s="197"/>
      <c r="T998" s="197"/>
      <c r="U998" s="197"/>
      <c r="V998" s="197"/>
      <c r="W998" s="197"/>
      <c r="X998" s="197"/>
      <c r="Y998" s="197"/>
    </row>
    <row r="999">
      <c r="A999" s="197"/>
      <c r="B999" s="197"/>
      <c r="C999" s="197"/>
      <c r="D999" s="197"/>
      <c r="E999" s="197"/>
      <c r="F999" s="197"/>
      <c r="G999" s="197"/>
      <c r="H999" s="197"/>
      <c r="I999" s="197"/>
      <c r="J999" s="197"/>
      <c r="K999" s="197"/>
      <c r="L999" s="197"/>
      <c r="M999" s="197"/>
      <c r="N999" s="197"/>
      <c r="O999" s="197"/>
      <c r="P999" s="197"/>
      <c r="Q999" s="197"/>
      <c r="R999" s="197"/>
      <c r="S999" s="197"/>
      <c r="T999" s="197"/>
      <c r="U999" s="197"/>
      <c r="V999" s="197"/>
      <c r="W999" s="197"/>
      <c r="X999" s="197"/>
      <c r="Y999" s="197"/>
    </row>
    <row r="1000">
      <c r="A1000" s="197"/>
      <c r="B1000" s="197"/>
      <c r="C1000" s="197"/>
      <c r="D1000" s="197"/>
      <c r="E1000" s="197"/>
      <c r="F1000" s="197"/>
      <c r="G1000" s="197"/>
      <c r="H1000" s="197"/>
      <c r="I1000" s="197"/>
      <c r="J1000" s="197"/>
      <c r="K1000" s="197"/>
      <c r="L1000" s="197"/>
      <c r="M1000" s="197"/>
      <c r="N1000" s="197"/>
      <c r="O1000" s="197"/>
      <c r="P1000" s="197"/>
      <c r="Q1000" s="197"/>
      <c r="R1000" s="197"/>
      <c r="S1000" s="197"/>
      <c r="T1000" s="197"/>
      <c r="U1000" s="197"/>
      <c r="V1000" s="197"/>
      <c r="W1000" s="197"/>
      <c r="X1000" s="197"/>
      <c r="Y1000" s="197"/>
    </row>
    <row r="1001">
      <c r="A1001" s="197"/>
      <c r="B1001" s="197"/>
      <c r="C1001" s="197"/>
      <c r="D1001" s="197"/>
      <c r="E1001" s="197"/>
      <c r="F1001" s="197"/>
      <c r="G1001" s="197"/>
      <c r="H1001" s="197"/>
      <c r="I1001" s="197"/>
      <c r="J1001" s="197"/>
      <c r="K1001" s="197"/>
      <c r="L1001" s="197"/>
      <c r="M1001" s="197"/>
      <c r="N1001" s="197"/>
      <c r="O1001" s="197"/>
      <c r="P1001" s="197"/>
      <c r="Q1001" s="197"/>
      <c r="R1001" s="197"/>
      <c r="S1001" s="197"/>
      <c r="T1001" s="197"/>
      <c r="U1001" s="197"/>
      <c r="V1001" s="197"/>
      <c r="W1001" s="197"/>
      <c r="X1001" s="197"/>
      <c r="Y1001" s="197"/>
    </row>
    <row r="1002">
      <c r="A1002" s="197"/>
      <c r="B1002" s="197"/>
      <c r="C1002" s="197"/>
      <c r="D1002" s="197"/>
      <c r="E1002" s="197"/>
      <c r="F1002" s="197"/>
      <c r="G1002" s="197"/>
      <c r="H1002" s="197"/>
      <c r="I1002" s="197"/>
      <c r="J1002" s="197"/>
      <c r="K1002" s="197"/>
      <c r="L1002" s="197"/>
      <c r="M1002" s="197"/>
      <c r="N1002" s="197"/>
      <c r="O1002" s="197"/>
      <c r="P1002" s="197"/>
      <c r="Q1002" s="197"/>
      <c r="R1002" s="197"/>
      <c r="S1002" s="197"/>
      <c r="T1002" s="197"/>
      <c r="U1002" s="197"/>
      <c r="V1002" s="197"/>
      <c r="W1002" s="197"/>
      <c r="X1002" s="197"/>
      <c r="Y1002" s="197"/>
    </row>
    <row r="1003">
      <c r="A1003" s="197"/>
      <c r="B1003" s="197"/>
      <c r="C1003" s="197"/>
      <c r="D1003" s="197"/>
      <c r="E1003" s="197"/>
      <c r="F1003" s="197"/>
      <c r="G1003" s="197"/>
      <c r="H1003" s="197"/>
      <c r="I1003" s="197"/>
      <c r="J1003" s="197"/>
      <c r="K1003" s="197"/>
      <c r="L1003" s="197"/>
      <c r="M1003" s="197"/>
      <c r="N1003" s="197"/>
      <c r="O1003" s="197"/>
      <c r="P1003" s="197"/>
      <c r="Q1003" s="197"/>
      <c r="R1003" s="197"/>
      <c r="S1003" s="197"/>
      <c r="T1003" s="197"/>
      <c r="U1003" s="197"/>
      <c r="V1003" s="197"/>
      <c r="W1003" s="197"/>
      <c r="X1003" s="197"/>
      <c r="Y1003" s="197"/>
    </row>
    <row r="1004">
      <c r="A1004" s="197"/>
      <c r="B1004" s="197"/>
      <c r="C1004" s="197"/>
      <c r="D1004" s="197"/>
      <c r="E1004" s="197"/>
      <c r="F1004" s="197"/>
      <c r="G1004" s="197"/>
      <c r="H1004" s="197"/>
      <c r="I1004" s="197"/>
      <c r="J1004" s="197"/>
      <c r="K1004" s="197"/>
      <c r="L1004" s="197"/>
      <c r="M1004" s="197"/>
      <c r="N1004" s="197"/>
      <c r="O1004" s="197"/>
      <c r="P1004" s="197"/>
      <c r="Q1004" s="197"/>
      <c r="R1004" s="197"/>
      <c r="S1004" s="197"/>
      <c r="T1004" s="197"/>
      <c r="U1004" s="197"/>
      <c r="V1004" s="197"/>
      <c r="W1004" s="197"/>
      <c r="X1004" s="197"/>
      <c r="Y1004" s="197"/>
    </row>
    <row r="1005">
      <c r="A1005" s="197"/>
      <c r="B1005" s="197"/>
      <c r="C1005" s="197"/>
      <c r="D1005" s="197"/>
      <c r="E1005" s="197"/>
      <c r="F1005" s="197"/>
      <c r="G1005" s="197"/>
      <c r="H1005" s="197"/>
      <c r="I1005" s="197"/>
      <c r="J1005" s="197"/>
      <c r="K1005" s="197"/>
      <c r="L1005" s="197"/>
      <c r="M1005" s="197"/>
      <c r="N1005" s="197"/>
      <c r="O1005" s="197"/>
      <c r="P1005" s="197"/>
      <c r="Q1005" s="197"/>
      <c r="R1005" s="197"/>
      <c r="S1005" s="197"/>
      <c r="T1005" s="197"/>
      <c r="U1005" s="197"/>
      <c r="V1005" s="197"/>
      <c r="W1005" s="197"/>
      <c r="X1005" s="197"/>
      <c r="Y1005" s="197"/>
    </row>
    <row r="1006">
      <c r="A1006" s="197"/>
      <c r="B1006" s="197"/>
      <c r="C1006" s="197"/>
      <c r="D1006" s="197"/>
      <c r="E1006" s="197"/>
      <c r="F1006" s="197"/>
      <c r="G1006" s="197"/>
      <c r="H1006" s="197"/>
      <c r="I1006" s="197"/>
      <c r="J1006" s="197"/>
      <c r="K1006" s="197"/>
      <c r="L1006" s="197"/>
      <c r="M1006" s="197"/>
      <c r="N1006" s="197"/>
      <c r="O1006" s="197"/>
      <c r="P1006" s="197"/>
      <c r="Q1006" s="197"/>
      <c r="R1006" s="197"/>
      <c r="S1006" s="197"/>
      <c r="T1006" s="197"/>
      <c r="U1006" s="197"/>
      <c r="V1006" s="197"/>
      <c r="W1006" s="197"/>
      <c r="X1006" s="197"/>
      <c r="Y1006" s="197"/>
    </row>
    <row r="1007">
      <c r="A1007" s="197"/>
      <c r="B1007" s="197"/>
      <c r="C1007" s="197"/>
      <c r="D1007" s="197"/>
      <c r="E1007" s="197"/>
      <c r="F1007" s="197"/>
      <c r="G1007" s="197"/>
      <c r="H1007" s="197"/>
      <c r="I1007" s="197"/>
      <c r="J1007" s="197"/>
      <c r="K1007" s="197"/>
      <c r="L1007" s="197"/>
      <c r="M1007" s="197"/>
      <c r="N1007" s="197"/>
      <c r="O1007" s="197"/>
      <c r="P1007" s="197"/>
      <c r="Q1007" s="197"/>
      <c r="R1007" s="197"/>
      <c r="S1007" s="197"/>
      <c r="T1007" s="197"/>
      <c r="U1007" s="197"/>
      <c r="V1007" s="197"/>
      <c r="W1007" s="197"/>
      <c r="X1007" s="197"/>
      <c r="Y1007" s="197"/>
    </row>
    <row r="1008">
      <c r="A1008" s="197"/>
      <c r="B1008" s="197"/>
      <c r="C1008" s="197"/>
      <c r="D1008" s="197"/>
      <c r="E1008" s="197"/>
      <c r="F1008" s="197"/>
      <c r="G1008" s="197"/>
      <c r="H1008" s="197"/>
      <c r="I1008" s="197"/>
      <c r="J1008" s="197"/>
      <c r="K1008" s="197"/>
      <c r="L1008" s="197"/>
      <c r="M1008" s="197"/>
      <c r="N1008" s="197"/>
      <c r="O1008" s="197"/>
      <c r="P1008" s="197"/>
      <c r="Q1008" s="197"/>
      <c r="R1008" s="197"/>
      <c r="S1008" s="197"/>
      <c r="T1008" s="197"/>
      <c r="U1008" s="197"/>
      <c r="V1008" s="197"/>
      <c r="W1008" s="197"/>
      <c r="X1008" s="197"/>
      <c r="Y1008" s="197"/>
    </row>
    <row r="1009">
      <c r="A1009" s="197"/>
      <c r="B1009" s="197"/>
      <c r="C1009" s="197"/>
      <c r="D1009" s="197"/>
      <c r="E1009" s="197"/>
      <c r="F1009" s="197"/>
      <c r="G1009" s="197"/>
      <c r="H1009" s="197"/>
      <c r="I1009" s="197"/>
      <c r="J1009" s="197"/>
      <c r="K1009" s="197"/>
      <c r="L1009" s="197"/>
      <c r="M1009" s="197"/>
      <c r="N1009" s="197"/>
      <c r="O1009" s="197"/>
      <c r="P1009" s="197"/>
      <c r="Q1009" s="197"/>
      <c r="R1009" s="197"/>
      <c r="S1009" s="197"/>
      <c r="T1009" s="197"/>
      <c r="U1009" s="197"/>
      <c r="V1009" s="197"/>
      <c r="W1009" s="197"/>
      <c r="X1009" s="197"/>
      <c r="Y1009" s="197"/>
    </row>
    <row r="1010">
      <c r="A1010" s="197"/>
      <c r="B1010" s="197"/>
      <c r="C1010" s="197"/>
      <c r="D1010" s="197"/>
      <c r="E1010" s="197"/>
      <c r="F1010" s="197"/>
      <c r="G1010" s="197"/>
      <c r="H1010" s="197"/>
      <c r="I1010" s="197"/>
      <c r="J1010" s="197"/>
      <c r="K1010" s="197"/>
      <c r="L1010" s="197"/>
      <c r="M1010" s="197"/>
      <c r="N1010" s="197"/>
      <c r="O1010" s="197"/>
      <c r="P1010" s="197"/>
      <c r="Q1010" s="197"/>
      <c r="R1010" s="197"/>
      <c r="S1010" s="197"/>
      <c r="T1010" s="197"/>
      <c r="U1010" s="197"/>
      <c r="V1010" s="197"/>
      <c r="W1010" s="197"/>
      <c r="X1010" s="197"/>
      <c r="Y1010" s="197"/>
    </row>
    <row r="1011">
      <c r="A1011" s="197"/>
      <c r="B1011" s="197"/>
      <c r="C1011" s="197"/>
      <c r="D1011" s="197"/>
      <c r="E1011" s="197"/>
      <c r="F1011" s="197"/>
      <c r="G1011" s="197"/>
      <c r="H1011" s="197"/>
      <c r="I1011" s="197"/>
      <c r="J1011" s="197"/>
      <c r="K1011" s="197"/>
      <c r="L1011" s="197"/>
      <c r="M1011" s="197"/>
      <c r="N1011" s="197"/>
      <c r="O1011" s="197"/>
      <c r="P1011" s="197"/>
      <c r="Q1011" s="197"/>
      <c r="R1011" s="197"/>
      <c r="S1011" s="197"/>
      <c r="T1011" s="197"/>
      <c r="U1011" s="197"/>
      <c r="V1011" s="197"/>
      <c r="W1011" s="197"/>
      <c r="X1011" s="197"/>
      <c r="Y1011" s="197"/>
    </row>
    <row r="1012">
      <c r="A1012" s="197"/>
      <c r="B1012" s="197"/>
      <c r="C1012" s="197"/>
      <c r="D1012" s="197"/>
      <c r="E1012" s="197"/>
      <c r="F1012" s="197"/>
      <c r="G1012" s="197"/>
      <c r="H1012" s="197"/>
      <c r="I1012" s="197"/>
      <c r="J1012" s="197"/>
      <c r="K1012" s="197"/>
      <c r="L1012" s="197"/>
      <c r="M1012" s="197"/>
      <c r="N1012" s="197"/>
      <c r="O1012" s="197"/>
      <c r="P1012" s="197"/>
      <c r="Q1012" s="197"/>
      <c r="R1012" s="197"/>
      <c r="S1012" s="197"/>
      <c r="T1012" s="197"/>
      <c r="U1012" s="197"/>
      <c r="V1012" s="197"/>
      <c r="W1012" s="197"/>
      <c r="X1012" s="197"/>
      <c r="Y1012" s="197"/>
    </row>
    <row r="1013">
      <c r="A1013" s="197"/>
      <c r="B1013" s="197"/>
      <c r="C1013" s="197"/>
      <c r="D1013" s="197"/>
      <c r="E1013" s="197"/>
      <c r="F1013" s="197"/>
      <c r="G1013" s="197"/>
      <c r="H1013" s="197"/>
      <c r="I1013" s="197"/>
      <c r="J1013" s="197"/>
      <c r="K1013" s="197"/>
      <c r="L1013" s="197"/>
      <c r="M1013" s="197"/>
      <c r="N1013" s="197"/>
      <c r="O1013" s="197"/>
      <c r="P1013" s="197"/>
      <c r="Q1013" s="197"/>
      <c r="R1013" s="197"/>
      <c r="S1013" s="197"/>
      <c r="T1013" s="197"/>
      <c r="U1013" s="197"/>
      <c r="V1013" s="197"/>
      <c r="W1013" s="197"/>
      <c r="X1013" s="197"/>
      <c r="Y1013" s="197"/>
    </row>
    <row r="1014">
      <c r="A1014" s="197"/>
      <c r="B1014" s="197"/>
      <c r="C1014" s="197"/>
      <c r="D1014" s="197"/>
      <c r="E1014" s="197"/>
      <c r="F1014" s="197"/>
      <c r="G1014" s="197"/>
      <c r="H1014" s="197"/>
      <c r="I1014" s="197"/>
      <c r="J1014" s="197"/>
      <c r="K1014" s="197"/>
      <c r="L1014" s="197"/>
      <c r="M1014" s="197"/>
      <c r="N1014" s="197"/>
      <c r="O1014" s="197"/>
      <c r="P1014" s="197"/>
      <c r="Q1014" s="197"/>
      <c r="R1014" s="197"/>
      <c r="S1014" s="197"/>
      <c r="T1014" s="197"/>
      <c r="U1014" s="197"/>
      <c r="V1014" s="197"/>
      <c r="W1014" s="197"/>
      <c r="X1014" s="197"/>
      <c r="Y1014" s="197"/>
    </row>
    <row r="1015">
      <c r="A1015" s="197"/>
      <c r="B1015" s="197"/>
      <c r="C1015" s="197"/>
      <c r="D1015" s="197"/>
      <c r="E1015" s="197"/>
      <c r="F1015" s="197"/>
      <c r="G1015" s="197"/>
      <c r="H1015" s="197"/>
      <c r="I1015" s="197"/>
      <c r="J1015" s="197"/>
      <c r="K1015" s="197"/>
      <c r="L1015" s="197"/>
      <c r="M1015" s="197"/>
      <c r="N1015" s="197"/>
      <c r="O1015" s="197"/>
      <c r="P1015" s="197"/>
      <c r="Q1015" s="197"/>
      <c r="R1015" s="197"/>
      <c r="S1015" s="197"/>
      <c r="T1015" s="197"/>
      <c r="U1015" s="197"/>
      <c r="V1015" s="197"/>
      <c r="W1015" s="197"/>
      <c r="X1015" s="197"/>
      <c r="Y1015" s="197"/>
    </row>
    <row r="1016">
      <c r="A1016" s="197"/>
      <c r="B1016" s="197"/>
      <c r="C1016" s="197"/>
      <c r="D1016" s="197"/>
      <c r="E1016" s="197"/>
      <c r="F1016" s="197"/>
      <c r="G1016" s="197"/>
      <c r="H1016" s="197"/>
      <c r="I1016" s="197"/>
      <c r="J1016" s="197"/>
      <c r="K1016" s="197"/>
      <c r="L1016" s="197"/>
      <c r="M1016" s="197"/>
      <c r="N1016" s="197"/>
      <c r="O1016" s="197"/>
      <c r="P1016" s="197"/>
      <c r="Q1016" s="197"/>
      <c r="R1016" s="197"/>
      <c r="S1016" s="197"/>
      <c r="T1016" s="197"/>
      <c r="U1016" s="197"/>
      <c r="V1016" s="197"/>
      <c r="W1016" s="197"/>
      <c r="X1016" s="197"/>
      <c r="Y1016" s="197"/>
    </row>
    <row r="1017">
      <c r="A1017" s="197"/>
      <c r="B1017" s="197"/>
      <c r="C1017" s="197"/>
      <c r="D1017" s="197"/>
      <c r="E1017" s="197"/>
      <c r="F1017" s="197"/>
      <c r="G1017" s="197"/>
      <c r="H1017" s="197"/>
      <c r="I1017" s="197"/>
      <c r="J1017" s="197"/>
      <c r="K1017" s="197"/>
      <c r="L1017" s="197"/>
      <c r="M1017" s="197"/>
      <c r="N1017" s="197"/>
      <c r="O1017" s="197"/>
      <c r="P1017" s="197"/>
      <c r="Q1017" s="197"/>
      <c r="R1017" s="197"/>
      <c r="S1017" s="197"/>
      <c r="T1017" s="197"/>
      <c r="U1017" s="197"/>
      <c r="V1017" s="197"/>
      <c r="W1017" s="197"/>
      <c r="X1017" s="197"/>
      <c r="Y1017" s="197"/>
    </row>
    <row r="1018">
      <c r="A1018" s="197"/>
      <c r="B1018" s="197"/>
      <c r="C1018" s="197"/>
      <c r="D1018" s="197"/>
      <c r="E1018" s="197"/>
      <c r="F1018" s="197"/>
      <c r="G1018" s="197"/>
      <c r="H1018" s="197"/>
      <c r="I1018" s="197"/>
      <c r="J1018" s="197"/>
      <c r="K1018" s="197"/>
      <c r="L1018" s="197"/>
      <c r="M1018" s="197"/>
      <c r="N1018" s="197"/>
      <c r="O1018" s="197"/>
      <c r="P1018" s="197"/>
      <c r="Q1018" s="197"/>
      <c r="R1018" s="197"/>
      <c r="S1018" s="197"/>
      <c r="T1018" s="197"/>
      <c r="U1018" s="197"/>
      <c r="V1018" s="197"/>
      <c r="W1018" s="197"/>
      <c r="X1018" s="197"/>
      <c r="Y1018" s="197"/>
    </row>
    <row r="1019">
      <c r="A1019" s="197"/>
      <c r="B1019" s="197"/>
      <c r="C1019" s="197"/>
      <c r="D1019" s="197"/>
      <c r="E1019" s="197"/>
      <c r="F1019" s="197"/>
      <c r="G1019" s="197"/>
      <c r="H1019" s="197"/>
      <c r="I1019" s="197"/>
      <c r="J1019" s="197"/>
      <c r="K1019" s="197"/>
      <c r="L1019" s="197"/>
      <c r="M1019" s="197"/>
      <c r="N1019" s="197"/>
      <c r="O1019" s="197"/>
      <c r="P1019" s="197"/>
      <c r="Q1019" s="197"/>
      <c r="R1019" s="197"/>
      <c r="S1019" s="197"/>
      <c r="T1019" s="197"/>
      <c r="U1019" s="197"/>
      <c r="V1019" s="197"/>
      <c r="W1019" s="197"/>
      <c r="X1019" s="197"/>
      <c r="Y1019" s="197"/>
    </row>
    <row r="1020">
      <c r="A1020" s="197"/>
      <c r="B1020" s="197"/>
      <c r="C1020" s="197"/>
      <c r="D1020" s="197"/>
      <c r="E1020" s="197"/>
      <c r="F1020" s="197"/>
      <c r="G1020" s="197"/>
      <c r="H1020" s="197"/>
      <c r="I1020" s="197"/>
      <c r="J1020" s="197"/>
      <c r="K1020" s="197"/>
      <c r="L1020" s="197"/>
      <c r="M1020" s="197"/>
      <c r="N1020" s="197"/>
      <c r="O1020" s="197"/>
      <c r="P1020" s="197"/>
      <c r="Q1020" s="197"/>
      <c r="R1020" s="197"/>
      <c r="S1020" s="197"/>
      <c r="T1020" s="197"/>
      <c r="U1020" s="197"/>
      <c r="V1020" s="197"/>
      <c r="W1020" s="197"/>
      <c r="X1020" s="197"/>
      <c r="Y1020" s="197"/>
    </row>
    <row r="1021">
      <c r="A1021" s="197"/>
      <c r="B1021" s="197"/>
      <c r="C1021" s="197"/>
      <c r="D1021" s="197"/>
      <c r="E1021" s="197"/>
      <c r="F1021" s="197"/>
      <c r="G1021" s="197"/>
      <c r="H1021" s="197"/>
      <c r="I1021" s="197"/>
      <c r="J1021" s="197"/>
      <c r="K1021" s="197"/>
      <c r="L1021" s="197"/>
      <c r="M1021" s="197"/>
      <c r="N1021" s="197"/>
      <c r="O1021" s="197"/>
      <c r="P1021" s="197"/>
      <c r="Q1021" s="197"/>
      <c r="R1021" s="197"/>
      <c r="S1021" s="197"/>
      <c r="T1021" s="197"/>
      <c r="U1021" s="197"/>
      <c r="V1021" s="197"/>
      <c r="W1021" s="197"/>
      <c r="X1021" s="197"/>
      <c r="Y1021" s="197"/>
    </row>
    <row r="1022">
      <c r="A1022" s="197"/>
      <c r="B1022" s="197"/>
      <c r="C1022" s="197"/>
      <c r="D1022" s="197"/>
      <c r="E1022" s="197"/>
      <c r="F1022" s="197"/>
      <c r="G1022" s="197"/>
      <c r="H1022" s="197"/>
      <c r="I1022" s="197"/>
      <c r="J1022" s="197"/>
      <c r="K1022" s="197"/>
      <c r="L1022" s="197"/>
      <c r="M1022" s="197"/>
      <c r="N1022" s="197"/>
      <c r="O1022" s="197"/>
      <c r="P1022" s="197"/>
      <c r="Q1022" s="197"/>
      <c r="R1022" s="197"/>
      <c r="S1022" s="197"/>
      <c r="T1022" s="197"/>
      <c r="U1022" s="197"/>
      <c r="V1022" s="197"/>
      <c r="W1022" s="197"/>
      <c r="X1022" s="197"/>
      <c r="Y1022" s="197"/>
    </row>
    <row r="1023">
      <c r="A1023" s="197"/>
      <c r="B1023" s="197"/>
      <c r="C1023" s="197"/>
      <c r="D1023" s="197"/>
      <c r="E1023" s="197"/>
      <c r="F1023" s="197"/>
      <c r="G1023" s="197"/>
      <c r="H1023" s="197"/>
      <c r="I1023" s="197"/>
      <c r="J1023" s="197"/>
      <c r="K1023" s="197"/>
      <c r="L1023" s="197"/>
      <c r="M1023" s="197"/>
      <c r="N1023" s="197"/>
      <c r="O1023" s="197"/>
      <c r="P1023" s="197"/>
      <c r="Q1023" s="197"/>
      <c r="R1023" s="197"/>
      <c r="S1023" s="197"/>
      <c r="T1023" s="197"/>
      <c r="U1023" s="197"/>
      <c r="V1023" s="197"/>
      <c r="W1023" s="197"/>
      <c r="X1023" s="197"/>
      <c r="Y1023" s="197"/>
    </row>
    <row r="1024">
      <c r="A1024" s="197"/>
      <c r="B1024" s="197"/>
      <c r="C1024" s="197"/>
      <c r="D1024" s="197"/>
      <c r="E1024" s="197"/>
      <c r="F1024" s="197"/>
      <c r="G1024" s="197"/>
      <c r="H1024" s="197"/>
      <c r="I1024" s="197"/>
      <c r="J1024" s="197"/>
      <c r="K1024" s="197"/>
      <c r="L1024" s="197"/>
      <c r="M1024" s="197"/>
      <c r="N1024" s="197"/>
      <c r="O1024" s="197"/>
      <c r="P1024" s="197"/>
      <c r="Q1024" s="197"/>
      <c r="R1024" s="197"/>
      <c r="S1024" s="197"/>
      <c r="T1024" s="197"/>
      <c r="U1024" s="197"/>
      <c r="V1024" s="197"/>
      <c r="W1024" s="197"/>
      <c r="X1024" s="197"/>
      <c r="Y1024" s="197"/>
    </row>
    <row r="1025">
      <c r="A1025" s="197"/>
      <c r="B1025" s="197"/>
      <c r="C1025" s="197"/>
      <c r="D1025" s="197"/>
      <c r="E1025" s="197"/>
      <c r="F1025" s="197"/>
      <c r="G1025" s="197"/>
      <c r="H1025" s="197"/>
      <c r="I1025" s="197"/>
      <c r="J1025" s="197"/>
      <c r="K1025" s="197"/>
      <c r="L1025" s="197"/>
      <c r="M1025" s="197"/>
      <c r="N1025" s="197"/>
      <c r="O1025" s="197"/>
      <c r="P1025" s="197"/>
      <c r="Q1025" s="197"/>
      <c r="R1025" s="197"/>
      <c r="S1025" s="197"/>
      <c r="T1025" s="197"/>
      <c r="U1025" s="197"/>
      <c r="V1025" s="197"/>
      <c r="W1025" s="197"/>
      <c r="X1025" s="197"/>
      <c r="Y1025" s="197"/>
    </row>
    <row r="1026">
      <c r="A1026" s="197"/>
      <c r="B1026" s="197"/>
      <c r="C1026" s="197"/>
      <c r="D1026" s="197"/>
      <c r="E1026" s="197"/>
      <c r="F1026" s="197"/>
      <c r="G1026" s="197"/>
      <c r="H1026" s="197"/>
      <c r="I1026" s="197"/>
      <c r="J1026" s="197"/>
      <c r="K1026" s="197"/>
      <c r="L1026" s="197"/>
      <c r="M1026" s="197"/>
      <c r="N1026" s="197"/>
      <c r="O1026" s="197"/>
      <c r="P1026" s="197"/>
      <c r="Q1026" s="197"/>
      <c r="R1026" s="197"/>
      <c r="S1026" s="197"/>
      <c r="T1026" s="197"/>
      <c r="U1026" s="197"/>
      <c r="V1026" s="197"/>
      <c r="W1026" s="197"/>
      <c r="X1026" s="197"/>
      <c r="Y1026" s="197"/>
    </row>
    <row r="1027">
      <c r="A1027" s="197"/>
      <c r="B1027" s="197"/>
      <c r="C1027" s="197"/>
      <c r="D1027" s="197"/>
      <c r="E1027" s="197"/>
      <c r="F1027" s="197"/>
      <c r="G1027" s="197"/>
      <c r="H1027" s="197"/>
      <c r="I1027" s="197"/>
      <c r="J1027" s="197"/>
      <c r="K1027" s="197"/>
      <c r="L1027" s="197"/>
      <c r="M1027" s="197"/>
      <c r="N1027" s="197"/>
      <c r="O1027" s="197"/>
      <c r="P1027" s="197"/>
      <c r="Q1027" s="197"/>
      <c r="R1027" s="197"/>
      <c r="S1027" s="197"/>
      <c r="T1027" s="197"/>
      <c r="U1027" s="197"/>
      <c r="V1027" s="197"/>
      <c r="W1027" s="197"/>
      <c r="X1027" s="197"/>
      <c r="Y1027" s="197"/>
    </row>
    <row r="1028">
      <c r="A1028" s="197"/>
      <c r="B1028" s="197"/>
      <c r="C1028" s="197"/>
      <c r="D1028" s="197"/>
      <c r="E1028" s="197"/>
      <c r="F1028" s="197"/>
      <c r="G1028" s="197"/>
      <c r="H1028" s="197"/>
      <c r="I1028" s="197"/>
      <c r="J1028" s="197"/>
      <c r="K1028" s="197"/>
      <c r="L1028" s="197"/>
      <c r="M1028" s="197"/>
      <c r="N1028" s="197"/>
      <c r="O1028" s="197"/>
      <c r="P1028" s="197"/>
      <c r="Q1028" s="197"/>
      <c r="R1028" s="197"/>
      <c r="S1028" s="197"/>
      <c r="T1028" s="197"/>
      <c r="U1028" s="197"/>
      <c r="V1028" s="197"/>
      <c r="W1028" s="197"/>
      <c r="X1028" s="197"/>
      <c r="Y1028" s="197"/>
    </row>
    <row r="1029">
      <c r="A1029" s="197"/>
      <c r="B1029" s="197"/>
      <c r="C1029" s="197"/>
      <c r="D1029" s="197"/>
      <c r="E1029" s="197"/>
      <c r="F1029" s="197"/>
      <c r="G1029" s="197"/>
      <c r="H1029" s="197"/>
      <c r="I1029" s="197"/>
      <c r="J1029" s="197"/>
      <c r="K1029" s="197"/>
      <c r="L1029" s="197"/>
      <c r="M1029" s="197"/>
      <c r="N1029" s="197"/>
      <c r="O1029" s="197"/>
      <c r="P1029" s="197"/>
      <c r="Q1029" s="197"/>
      <c r="R1029" s="197"/>
      <c r="S1029" s="197"/>
      <c r="T1029" s="197"/>
      <c r="U1029" s="197"/>
      <c r="V1029" s="197"/>
      <c r="W1029" s="197"/>
      <c r="X1029" s="197"/>
      <c r="Y1029" s="197"/>
    </row>
    <row r="1030">
      <c r="A1030" s="197"/>
      <c r="B1030" s="197"/>
      <c r="C1030" s="197"/>
      <c r="D1030" s="197"/>
      <c r="E1030" s="197"/>
      <c r="F1030" s="197"/>
      <c r="G1030" s="197"/>
      <c r="H1030" s="197"/>
      <c r="I1030" s="197"/>
      <c r="J1030" s="197"/>
      <c r="K1030" s="197"/>
      <c r="L1030" s="197"/>
      <c r="M1030" s="197"/>
      <c r="N1030" s="197"/>
      <c r="O1030" s="197"/>
      <c r="P1030" s="197"/>
      <c r="Q1030" s="197"/>
      <c r="R1030" s="197"/>
      <c r="S1030" s="197"/>
      <c r="T1030" s="197"/>
      <c r="U1030" s="197"/>
      <c r="V1030" s="197"/>
      <c r="W1030" s="197"/>
      <c r="X1030" s="197"/>
      <c r="Y1030" s="197"/>
    </row>
    <row r="1031">
      <c r="A1031" s="197"/>
      <c r="B1031" s="197"/>
      <c r="C1031" s="197"/>
      <c r="D1031" s="197"/>
      <c r="E1031" s="197"/>
      <c r="F1031" s="197"/>
      <c r="G1031" s="197"/>
      <c r="H1031" s="197"/>
      <c r="I1031" s="197"/>
      <c r="J1031" s="197"/>
      <c r="K1031" s="197"/>
      <c r="L1031" s="197"/>
      <c r="M1031" s="197"/>
      <c r="N1031" s="197"/>
      <c r="O1031" s="197"/>
      <c r="P1031" s="197"/>
      <c r="Q1031" s="197"/>
      <c r="R1031" s="197"/>
      <c r="S1031" s="197"/>
      <c r="T1031" s="197"/>
      <c r="U1031" s="197"/>
      <c r="V1031" s="197"/>
      <c r="W1031" s="197"/>
      <c r="X1031" s="197"/>
      <c r="Y1031" s="197"/>
    </row>
    <row r="1032">
      <c r="A1032" s="197"/>
      <c r="B1032" s="197"/>
      <c r="C1032" s="197"/>
      <c r="D1032" s="197"/>
      <c r="E1032" s="197"/>
      <c r="F1032" s="197"/>
      <c r="G1032" s="197"/>
      <c r="H1032" s="197"/>
      <c r="I1032" s="197"/>
      <c r="J1032" s="197"/>
      <c r="K1032" s="197"/>
      <c r="L1032" s="197"/>
      <c r="M1032" s="197"/>
      <c r="N1032" s="197"/>
      <c r="O1032" s="197"/>
      <c r="P1032" s="197"/>
      <c r="Q1032" s="197"/>
      <c r="R1032" s="197"/>
      <c r="S1032" s="197"/>
      <c r="T1032" s="197"/>
      <c r="U1032" s="197"/>
      <c r="V1032" s="197"/>
      <c r="W1032" s="197"/>
      <c r="X1032" s="197"/>
      <c r="Y1032" s="197"/>
    </row>
    <row r="1033">
      <c r="A1033" s="197"/>
      <c r="B1033" s="197"/>
      <c r="C1033" s="197"/>
      <c r="D1033" s="197"/>
      <c r="E1033" s="197"/>
      <c r="F1033" s="197"/>
      <c r="G1033" s="197"/>
      <c r="H1033" s="197"/>
      <c r="I1033" s="197"/>
      <c r="J1033" s="197"/>
      <c r="K1033" s="197"/>
      <c r="L1033" s="197"/>
      <c r="M1033" s="197"/>
      <c r="N1033" s="197"/>
      <c r="O1033" s="197"/>
      <c r="P1033" s="197"/>
      <c r="Q1033" s="197"/>
      <c r="R1033" s="197"/>
      <c r="S1033" s="197"/>
      <c r="T1033" s="197"/>
      <c r="U1033" s="197"/>
      <c r="V1033" s="197"/>
      <c r="W1033" s="197"/>
      <c r="X1033" s="197"/>
      <c r="Y1033" s="197"/>
    </row>
    <row r="1034">
      <c r="A1034" s="197"/>
      <c r="B1034" s="197"/>
      <c r="C1034" s="197"/>
      <c r="D1034" s="197"/>
      <c r="E1034" s="197"/>
      <c r="F1034" s="197"/>
      <c r="G1034" s="197"/>
      <c r="H1034" s="197"/>
      <c r="I1034" s="197"/>
      <c r="J1034" s="197"/>
      <c r="K1034" s="197"/>
      <c r="L1034" s="197"/>
      <c r="M1034" s="197"/>
      <c r="N1034" s="197"/>
      <c r="O1034" s="197"/>
      <c r="P1034" s="197"/>
      <c r="Q1034" s="197"/>
      <c r="R1034" s="197"/>
      <c r="S1034" s="197"/>
      <c r="T1034" s="197"/>
      <c r="U1034" s="197"/>
      <c r="V1034" s="197"/>
      <c r="W1034" s="197"/>
      <c r="X1034" s="197"/>
      <c r="Y1034" s="197"/>
    </row>
    <row r="1035">
      <c r="A1035" s="197"/>
      <c r="B1035" s="197"/>
      <c r="C1035" s="197"/>
      <c r="D1035" s="197"/>
      <c r="E1035" s="197"/>
      <c r="F1035" s="197"/>
      <c r="G1035" s="197"/>
      <c r="H1035" s="197"/>
      <c r="I1035" s="197"/>
      <c r="J1035" s="197"/>
      <c r="K1035" s="197"/>
      <c r="L1035" s="197"/>
      <c r="M1035" s="197"/>
      <c r="N1035" s="197"/>
      <c r="O1035" s="197"/>
      <c r="P1035" s="197"/>
      <c r="Q1035" s="197"/>
      <c r="R1035" s="197"/>
      <c r="S1035" s="197"/>
      <c r="T1035" s="197"/>
      <c r="U1035" s="197"/>
      <c r="V1035" s="197"/>
      <c r="W1035" s="197"/>
      <c r="X1035" s="197"/>
      <c r="Y1035" s="197"/>
    </row>
    <row r="1036">
      <c r="A1036" s="197"/>
      <c r="B1036" s="197"/>
      <c r="C1036" s="197"/>
      <c r="D1036" s="197"/>
      <c r="E1036" s="197"/>
      <c r="F1036" s="197"/>
      <c r="G1036" s="197"/>
      <c r="H1036" s="197"/>
      <c r="I1036" s="197"/>
      <c r="J1036" s="197"/>
      <c r="K1036" s="197"/>
      <c r="L1036" s="197"/>
      <c r="M1036" s="197"/>
      <c r="N1036" s="197"/>
      <c r="O1036" s="197"/>
      <c r="P1036" s="197"/>
      <c r="Q1036" s="197"/>
      <c r="R1036" s="197"/>
      <c r="S1036" s="197"/>
      <c r="T1036" s="197"/>
      <c r="U1036" s="197"/>
      <c r="V1036" s="197"/>
      <c r="W1036" s="197"/>
      <c r="X1036" s="197"/>
      <c r="Y1036" s="197"/>
    </row>
    <row r="1037">
      <c r="A1037" s="197"/>
      <c r="B1037" s="197"/>
      <c r="C1037" s="197"/>
      <c r="D1037" s="197"/>
      <c r="E1037" s="197"/>
      <c r="F1037" s="197"/>
      <c r="G1037" s="197"/>
      <c r="H1037" s="197"/>
      <c r="I1037" s="197"/>
      <c r="J1037" s="197"/>
      <c r="K1037" s="197"/>
      <c r="L1037" s="197"/>
      <c r="M1037" s="197"/>
      <c r="N1037" s="197"/>
      <c r="O1037" s="197"/>
      <c r="P1037" s="197"/>
      <c r="Q1037" s="197"/>
      <c r="R1037" s="197"/>
      <c r="S1037" s="197"/>
      <c r="T1037" s="197"/>
      <c r="U1037" s="197"/>
      <c r="V1037" s="197"/>
      <c r="W1037" s="197"/>
      <c r="X1037" s="197"/>
      <c r="Y1037" s="197"/>
    </row>
    <row r="1038">
      <c r="A1038" s="197"/>
      <c r="B1038" s="197"/>
      <c r="C1038" s="197"/>
      <c r="D1038" s="197"/>
      <c r="E1038" s="197"/>
      <c r="F1038" s="197"/>
      <c r="G1038" s="197"/>
      <c r="H1038" s="197"/>
      <c r="I1038" s="197"/>
      <c r="J1038" s="197"/>
      <c r="K1038" s="197"/>
      <c r="L1038" s="197"/>
      <c r="M1038" s="197"/>
      <c r="N1038" s="197"/>
      <c r="O1038" s="197"/>
      <c r="P1038" s="197"/>
      <c r="Q1038" s="197"/>
      <c r="R1038" s="197"/>
      <c r="S1038" s="197"/>
      <c r="T1038" s="197"/>
      <c r="U1038" s="197"/>
      <c r="V1038" s="197"/>
      <c r="W1038" s="197"/>
      <c r="X1038" s="197"/>
      <c r="Y1038" s="197"/>
    </row>
    <row r="1039">
      <c r="A1039" s="197"/>
      <c r="B1039" s="197"/>
      <c r="C1039" s="197"/>
      <c r="D1039" s="197"/>
      <c r="E1039" s="197"/>
      <c r="F1039" s="197"/>
      <c r="G1039" s="197"/>
      <c r="H1039" s="197"/>
      <c r="I1039" s="197"/>
      <c r="J1039" s="197"/>
      <c r="K1039" s="197"/>
      <c r="L1039" s="197"/>
      <c r="M1039" s="197"/>
      <c r="N1039" s="197"/>
      <c r="O1039" s="197"/>
      <c r="P1039" s="197"/>
      <c r="Q1039" s="197"/>
      <c r="R1039" s="197"/>
      <c r="S1039" s="197"/>
      <c r="T1039" s="197"/>
      <c r="U1039" s="197"/>
      <c r="V1039" s="197"/>
      <c r="W1039" s="197"/>
      <c r="X1039" s="197"/>
      <c r="Y1039" s="197"/>
    </row>
  </sheetData>
  <hyperlinks>
    <hyperlink r:id="rId1" ref="O10"/>
    <hyperlink r:id="rId2" ref="H20"/>
    <hyperlink r:id="rId3" ref="C50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7" t="str">
        <f>IFERROR(__xludf.DUMMYFUNCTION("IMPORTRANGE(""https://docs.google.com/spreadsheets/d/1lLUezGr04gttZmCjozdXOUr60iM6OX1ezrYWKwC1J1g/edit?usp=sharing"", ""StaffInformation!A:H"")"),"Name")</f>
        <v>Name</v>
      </c>
      <c r="B1" s="197" t="str">
        <f>IFERROR(__xludf.DUMMYFUNCTION("""COMPUTED_VALUE"""),"Nick Name")</f>
        <v>Nick Name</v>
      </c>
      <c r="C1" s="197" t="str">
        <f>IFERROR(__xludf.DUMMYFUNCTION("""COMPUTED_VALUE"""),"Position")</f>
        <v>Position</v>
      </c>
      <c r="D1" s="197" t="str">
        <f>IFERROR(__xludf.DUMMYFUNCTION("""COMPUTED_VALUE"""),"Department")</f>
        <v>Department</v>
      </c>
      <c r="E1" s="197" t="str">
        <f>IFERROR(__xludf.DUMMYFUNCTION("""COMPUTED_VALUE"""),"DOB")</f>
        <v>DOB</v>
      </c>
      <c r="F1" s="197" t="str">
        <f>IFERROR(__xludf.DUMMYFUNCTION("""COMPUTED_VALUE"""),"Tenure at ADD")</f>
        <v>Tenure at ADD</v>
      </c>
      <c r="G1" s="197" t="str">
        <f>IFERROR(__xludf.DUMMYFUNCTION("""COMPUTED_VALUE"""),"Quote")</f>
        <v>Quote</v>
      </c>
      <c r="H1" s="197" t="str">
        <f>IFERROR(__xludf.DUMMYFUNCTION("""COMPUTED_VALUE"""),"Picture")</f>
        <v>Picture</v>
      </c>
    </row>
    <row r="2">
      <c r="A2" s="197" t="str">
        <f>IFERROR(__xludf.DUMMYFUNCTION("""COMPUTED_VALUE"""),"Tô Vũ Luật")</f>
        <v>Tô Vũ Luật</v>
      </c>
      <c r="B2" s="197" t="str">
        <f>IFERROR(__xludf.DUMMYFUNCTION("""COMPUTED_VALUE"""),"000.Luat")</f>
        <v>000.Luat</v>
      </c>
      <c r="C2" s="197"/>
      <c r="D2" s="197"/>
      <c r="E2" s="197"/>
      <c r="F2" s="197"/>
      <c r="G2" s="414" t="str">
        <f>IFERROR(__xludf.DUMMYFUNCTION("""COMPUTED_VALUE"""),"Making Small Thing In The Great Way.")</f>
        <v>Making Small Thing In The Great Way.</v>
      </c>
      <c r="H2" s="197" t="str">
        <f>IFERROR(__xludf.DUMMYFUNCTION("""COMPUTED_VALUE"""),"#REF!")</f>
        <v>#REF!</v>
      </c>
    </row>
    <row r="3">
      <c r="A3" s="197" t="str">
        <f>IFERROR(__xludf.DUMMYFUNCTION("""COMPUTED_VALUE"""),"Đỗ Duy Anh")</f>
        <v>Đỗ Duy Anh</v>
      </c>
      <c r="B3" s="197" t="str">
        <f>IFERROR(__xludf.DUMMYFUNCTION("""COMPUTED_VALUE"""),"200.Duy Anh")</f>
        <v>200.Duy Anh</v>
      </c>
      <c r="C3" s="197"/>
      <c r="D3" s="197"/>
      <c r="E3" s="197"/>
      <c r="F3" s="197"/>
      <c r="G3" s="197" t="str">
        <f>IFERROR(__xludf.DUMMYFUNCTION("""COMPUTED_VALUE"""),"You only live once, but if you do it right, once is enough")</f>
        <v>You only live once, but if you do it right, once is enough</v>
      </c>
      <c r="H3" s="197" t="str">
        <f>IFERROR(__xludf.DUMMYFUNCTION("""COMPUTED_VALUE"""),"#REF!")</f>
        <v>#REF!</v>
      </c>
    </row>
    <row r="4">
      <c r="A4" s="197" t="str">
        <f>IFERROR(__xludf.DUMMYFUNCTION("""COMPUTED_VALUE"""),"Triệu Thủy Tiên")</f>
        <v>Triệu Thủy Tiên</v>
      </c>
      <c r="B4" s="197" t="str">
        <f>IFERROR(__xludf.DUMMYFUNCTION("""COMPUTED_VALUE"""),"200.Tien")</f>
        <v>200.Tien</v>
      </c>
      <c r="C4" s="197"/>
      <c r="D4" s="197"/>
      <c r="E4" s="197"/>
      <c r="F4" s="197"/>
      <c r="G4" s="197" t="str">
        <f>IFERROR(__xludf.DUMMYFUNCTION("""COMPUTED_VALUE"""),"New job, new jorney🥰")</f>
        <v>New job, new jorney🥰</v>
      </c>
      <c r="H4" s="197" t="str">
        <f>IFERROR(__xludf.DUMMYFUNCTION("""COMPUTED_VALUE"""),"#REF!")</f>
        <v>#REF!</v>
      </c>
    </row>
    <row r="5">
      <c r="A5" s="197" t="str">
        <f>IFERROR(__xludf.DUMMYFUNCTION("""COMPUTED_VALUE"""),"Lê Thị Sim")</f>
        <v>Lê Thị Sim</v>
      </c>
      <c r="B5" s="197" t="str">
        <f>IFERROR(__xludf.DUMMYFUNCTION("""COMPUTED_VALUE"""),"300.Sim")</f>
        <v>300.Sim</v>
      </c>
      <c r="C5" s="197"/>
      <c r="D5" s="197"/>
      <c r="E5" s="197"/>
      <c r="F5" s="197"/>
      <c r="G5" s="197" t="str">
        <f>IFERROR(__xludf.DUMMYFUNCTION("""COMPUTED_VALUE"""),"Người chết chỉ thực sự là chết khi họ chết hẳn trong lòng người sống.")</f>
        <v>Người chết chỉ thực sự là chết khi họ chết hẳn trong lòng người sống.</v>
      </c>
      <c r="H5" s="197" t="str">
        <f>IFERROR(__xludf.DUMMYFUNCTION("""COMPUTED_VALUE"""),"#REF!")</f>
        <v>#REF!</v>
      </c>
    </row>
    <row r="6">
      <c r="A6" s="197" t="str">
        <f>IFERROR(__xludf.DUMMYFUNCTION("""COMPUTED_VALUE"""),"Nguyễn Thị Thủy")</f>
        <v>Nguyễn Thị Thủy</v>
      </c>
      <c r="B6" s="197" t="str">
        <f>IFERROR(__xludf.DUMMYFUNCTION("""COMPUTED_VALUE"""),"300.Thuy")</f>
        <v>300.Thuy</v>
      </c>
      <c r="C6" s="197"/>
      <c r="D6" s="197"/>
      <c r="E6" s="197"/>
      <c r="F6" s="197"/>
      <c r="G6" s="414" t="str">
        <f>IFERROR(__xludf.DUMMYFUNCTION("""COMPUTED_VALUE"""),"Ở mỗi giai đoạn của cuộc đời, chúng ta sẽ có những suy nghĩ khác nhau.")</f>
        <v>Ở mỗi giai đoạn của cuộc đời, chúng ta sẽ có những suy nghĩ khác nhau.</v>
      </c>
      <c r="H6" s="197" t="str">
        <f>IFERROR(__xludf.DUMMYFUNCTION("""COMPUTED_VALUE"""),"#REF!")</f>
        <v>#REF!</v>
      </c>
    </row>
    <row r="7">
      <c r="A7" s="197" t="str">
        <f>IFERROR(__xludf.DUMMYFUNCTION("""COMPUTED_VALUE"""),"Nguyễn Quỳnh Trang")</f>
        <v>Nguyễn Quỳnh Trang</v>
      </c>
      <c r="B7" s="197" t="str">
        <f>IFERROR(__xludf.DUMMYFUNCTION("""COMPUTED_VALUE"""),"300.Trang")</f>
        <v>300.Trang</v>
      </c>
      <c r="C7" s="197"/>
      <c r="D7" s="197"/>
      <c r="E7" s="197"/>
      <c r="F7" s="197"/>
      <c r="G7" s="197" t="str">
        <f>IFERROR(__xludf.DUMMYFUNCTION("""COMPUTED_VALUE"""),"Life is short, smile while you still have teeth")</f>
        <v>Life is short, smile while you still have teeth</v>
      </c>
      <c r="H7" s="197" t="str">
        <f>IFERROR(__xludf.DUMMYFUNCTION("""COMPUTED_VALUE"""),"#REF!")</f>
        <v>#REF!</v>
      </c>
    </row>
    <row r="8">
      <c r="A8" s="197" t="str">
        <f>IFERROR(__xludf.DUMMYFUNCTION("""COMPUTED_VALUE"""),"Trương Minh Tâm")</f>
        <v>Trương Minh Tâm</v>
      </c>
      <c r="B8" s="197" t="str">
        <f>IFERROR(__xludf.DUMMYFUNCTION("""COMPUTED_VALUE"""),"500.Tam")</f>
        <v>500.Tam</v>
      </c>
      <c r="C8" s="197"/>
      <c r="D8" s="197"/>
      <c r="E8" s="197"/>
      <c r="F8" s="197"/>
      <c r="G8" s="414" t="str">
        <f>IFERROR(__xludf.DUMMYFUNCTION("""COMPUTED_VALUE"""),"Meat Plus")</f>
        <v>Meat Plus</v>
      </c>
      <c r="H8" s="197" t="str">
        <f>IFERROR(__xludf.DUMMYFUNCTION("""COMPUTED_VALUE"""),"#REF!")</f>
        <v>#REF!</v>
      </c>
    </row>
    <row r="9">
      <c r="A9" s="197" t="str">
        <f>IFERROR(__xludf.DUMMYFUNCTION("""COMPUTED_VALUE"""),"Lê Thị Quyên")</f>
        <v>Lê Thị Quyên</v>
      </c>
      <c r="B9" s="197" t="str">
        <f>IFERROR(__xludf.DUMMYFUNCTION("""COMPUTED_VALUE"""),"500.Quyen")</f>
        <v>500.Quyen</v>
      </c>
      <c r="C9" s="197"/>
      <c r="D9" s="197"/>
      <c r="E9" s="197"/>
      <c r="F9" s="197"/>
      <c r="G9" s="414" t="str">
        <f>IFERROR(__xludf.DUMMYFUNCTION("""COMPUTED_VALUE"""),"Meat Plus")</f>
        <v>Meat Plus</v>
      </c>
      <c r="H9" s="197" t="str">
        <f>IFERROR(__xludf.DUMMYFUNCTION("""COMPUTED_VALUE"""),"#REF!")</f>
        <v>#REF!</v>
      </c>
    </row>
    <row r="10">
      <c r="A10" s="197" t="str">
        <f>IFERROR(__xludf.DUMMYFUNCTION("""COMPUTED_VALUE"""),"Trần Ngọc Thảo")</f>
        <v>Trần Ngọc Thảo</v>
      </c>
      <c r="B10" s="197" t="str">
        <f>IFERROR(__xludf.DUMMYFUNCTION("""COMPUTED_VALUE"""),"500.Thao")</f>
        <v>500.Thao</v>
      </c>
      <c r="C10" s="197"/>
      <c r="D10" s="197"/>
      <c r="E10" s="197"/>
      <c r="F10" s="197"/>
      <c r="G10" s="414" t="str">
        <f>IFERROR(__xludf.DUMMYFUNCTION("""COMPUTED_VALUE"""),"Meat Plus")</f>
        <v>Meat Plus</v>
      </c>
      <c r="H10" s="197" t="str">
        <f>IFERROR(__xludf.DUMMYFUNCTION("""COMPUTED_VALUE"""),"#REF!")</f>
        <v>#REF!</v>
      </c>
    </row>
    <row r="11">
      <c r="A11" s="197" t="str">
        <f>IFERROR(__xludf.DUMMYFUNCTION("""COMPUTED_VALUE"""),"Đào Trường Giang")</f>
        <v>Đào Trường Giang</v>
      </c>
      <c r="B11" s="197" t="str">
        <f>IFERROR(__xludf.DUMMYFUNCTION("""COMPUTED_VALUE"""),"500.Giang")</f>
        <v>500.Giang</v>
      </c>
      <c r="C11" s="197"/>
      <c r="D11" s="197"/>
      <c r="E11" s="197"/>
      <c r="F11" s="197"/>
      <c r="G11" s="197" t="str">
        <f>IFERROR(__xludf.DUMMYFUNCTION("""COMPUTED_VALUE"""),"...")</f>
        <v>...</v>
      </c>
      <c r="H11" s="197" t="str">
        <f>IFERROR(__xludf.DUMMYFUNCTION("""COMPUTED_VALUE"""),"#REF!")</f>
        <v>#REF!</v>
      </c>
    </row>
    <row r="12">
      <c r="A12" s="197" t="str">
        <f>IFERROR(__xludf.DUMMYFUNCTION("""COMPUTED_VALUE"""),"Nguyễn Lan Hương")</f>
        <v>Nguyễn Lan Hương</v>
      </c>
      <c r="B12" s="197" t="str">
        <f>IFERROR(__xludf.DUMMYFUNCTION("""COMPUTED_VALUE"""),"VPA.Lan Huong")</f>
        <v>VPA.Lan Huong</v>
      </c>
      <c r="C12" s="197"/>
      <c r="D12" s="197"/>
      <c r="E12" s="197"/>
      <c r="F12" s="197"/>
      <c r="G12" s="197" t="str">
        <f>IFERROR(__xludf.DUMMYFUNCTION("""COMPUTED_VALUE"""),"...")</f>
        <v>...</v>
      </c>
      <c r="H12" s="197" t="str">
        <f>IFERROR(__xludf.DUMMYFUNCTION("""COMPUTED_VALUE"""),"#REF!")</f>
        <v>#REF!</v>
      </c>
    </row>
    <row r="13">
      <c r="A13" s="197" t="str">
        <f>IFERROR(__xludf.DUMMYFUNCTION("""COMPUTED_VALUE"""),"Nguyễn Thị Thu Trang")</f>
        <v>Nguyễn Thị Thu Trang</v>
      </c>
      <c r="B13" s="197" t="str">
        <f>IFERROR(__xludf.DUMMYFUNCTION("""COMPUTED_VALUE"""),"VPA.Trang")</f>
        <v>VPA.Trang</v>
      </c>
      <c r="C13" s="197"/>
      <c r="D13" s="197"/>
      <c r="E13" s="197"/>
      <c r="F13" s="197"/>
      <c r="G13" s="197" t="str">
        <f>IFERROR(__xludf.DUMMYFUNCTION("""COMPUTED_VALUE"""),"Today's work, tomorrow's heritage")</f>
        <v>Today's work, tomorrow's heritage</v>
      </c>
      <c r="H13" s="197" t="str">
        <f>IFERROR(__xludf.DUMMYFUNCTION("""COMPUTED_VALUE"""),"#REF!")</f>
        <v>#REF!</v>
      </c>
    </row>
    <row r="14">
      <c r="A14" s="197" t="str">
        <f>IFERROR(__xludf.DUMMYFUNCTION("""COMPUTED_VALUE"""),"Vũ Thanh Huyền")</f>
        <v>Vũ Thanh Huyền</v>
      </c>
      <c r="B14" s="197" t="str">
        <f>IFERROR(__xludf.DUMMYFUNCTION("""COMPUTED_VALUE"""),"VPA.Huyen")</f>
        <v>VPA.Huyen</v>
      </c>
      <c r="C14" s="197"/>
      <c r="D14" s="197"/>
      <c r="E14" s="197"/>
      <c r="F14" s="197"/>
      <c r="G14" s="197" t="str">
        <f>IFERROR(__xludf.DUMMYFUNCTION("""COMPUTED_VALUE"""),"...")</f>
        <v>...</v>
      </c>
      <c r="H14" s="197" t="str">
        <f>IFERROR(__xludf.DUMMYFUNCTION("""COMPUTED_VALUE"""),"#REF!")</f>
        <v>#REF!</v>
      </c>
    </row>
    <row r="15">
      <c r="A15" s="197" t="str">
        <f>IFERROR(__xludf.DUMMYFUNCTION("""COMPUTED_VALUE"""),"Nguyễn Thành Nam")</f>
        <v>Nguyễn Thành Nam</v>
      </c>
      <c r="B15" s="197" t="str">
        <f>IFERROR(__xludf.DUMMYFUNCTION("""COMPUTED_VALUE"""),"VPA.Nam")</f>
        <v>VPA.Nam</v>
      </c>
      <c r="C15" s="197"/>
      <c r="D15" s="197"/>
      <c r="E15" s="197"/>
      <c r="F15" s="197"/>
      <c r="G15" s="197" t="str">
        <f>IFERROR(__xludf.DUMMYFUNCTION("""COMPUTED_VALUE"""),"...")</f>
        <v>...</v>
      </c>
      <c r="H15" s="197" t="str">
        <f>IFERROR(__xludf.DUMMYFUNCTION("""COMPUTED_VALUE"""),"#REF!")</f>
        <v>#REF!</v>
      </c>
    </row>
    <row r="16">
      <c r="A16" s="197" t="str">
        <f>IFERROR(__xludf.DUMMYFUNCTION("""COMPUTED_VALUE"""),"Nguyễn Bình Dương")</f>
        <v>Nguyễn Bình Dương</v>
      </c>
      <c r="B16" s="197" t="str">
        <f>IFERROR(__xludf.DUMMYFUNCTION("""COMPUTED_VALUE"""),"VPA.Duong")</f>
        <v>VPA.Duong</v>
      </c>
      <c r="C16" s="197"/>
      <c r="D16" s="197"/>
      <c r="E16" s="197"/>
      <c r="F16" s="197"/>
      <c r="G16" s="197" t="str">
        <f>IFERROR(__xludf.DUMMYFUNCTION("""COMPUTED_VALUE"""),"Work smarter not harder")</f>
        <v>Work smarter not harder</v>
      </c>
      <c r="H16" s="197" t="str">
        <f>IFERROR(__xludf.DUMMYFUNCTION("""COMPUTED_VALUE"""),"#REF!")</f>
        <v>#REF!</v>
      </c>
    </row>
    <row r="17">
      <c r="A17" s="197" t="str">
        <f>IFERROR(__xludf.DUMMYFUNCTION("""COMPUTED_VALUE"""),"Lê Ngọc Quỳnh")</f>
        <v>Lê Ngọc Quỳnh</v>
      </c>
      <c r="B17" s="197" t="str">
        <f>IFERROR(__xludf.DUMMYFUNCTION("""COMPUTED_VALUE"""),"VPA.Quynh")</f>
        <v>VPA.Quynh</v>
      </c>
      <c r="C17" s="197"/>
      <c r="D17" s="197"/>
      <c r="E17" s="197"/>
      <c r="F17" s="197"/>
      <c r="G17" s="197" t="str">
        <f>IFERROR(__xludf.DUMMYFUNCTION("""COMPUTED_VALUE"""),"Hành trình vạn dặm bắt đầu từ một bước chân")</f>
        <v>Hành trình vạn dặm bắt đầu từ một bước chân</v>
      </c>
      <c r="H17" s="197" t="str">
        <f>IFERROR(__xludf.DUMMYFUNCTION("""COMPUTED_VALUE"""),"#REF!")</f>
        <v>#REF!</v>
      </c>
    </row>
    <row r="18">
      <c r="A18" s="197" t="str">
        <f>IFERROR(__xludf.DUMMYFUNCTION("""COMPUTED_VALUE"""),"Bùi Trung Hiếu")</f>
        <v>Bùi Trung Hiếu</v>
      </c>
      <c r="B18" s="197" t="str">
        <f>IFERROR(__xludf.DUMMYFUNCTION("""COMPUTED_VALUE"""),"VPA.Hieu")</f>
        <v>VPA.Hieu</v>
      </c>
      <c r="C18" s="197"/>
      <c r="D18" s="197"/>
      <c r="E18" s="197"/>
      <c r="F18" s="197"/>
      <c r="G18" s="197" t="str">
        <f>IFERROR(__xludf.DUMMYFUNCTION("""COMPUTED_VALUE"""),"Bringing the forest into the city")</f>
        <v>Bringing the forest into the city</v>
      </c>
      <c r="H18" s="197" t="str">
        <f>IFERROR(__xludf.DUMMYFUNCTION("""COMPUTED_VALUE"""),"#REF!")</f>
        <v>#REF!</v>
      </c>
    </row>
    <row r="19">
      <c r="A19" s="197" t="str">
        <f>IFERROR(__xludf.DUMMYFUNCTION("""COMPUTED_VALUE"""),"Lê Anh Quân")</f>
        <v>Lê Anh Quân</v>
      </c>
      <c r="B19" s="197" t="str">
        <f>IFERROR(__xludf.DUMMYFUNCTION("""COMPUTED_VALUE"""),"VPA.Quan")</f>
        <v>VPA.Quan</v>
      </c>
      <c r="C19" s="197"/>
      <c r="D19" s="197"/>
      <c r="E19" s="197"/>
      <c r="F19" s="197"/>
      <c r="G19" s="197" t="str">
        <f>IFERROR(__xludf.DUMMYFUNCTION("""COMPUTED_VALUE"""),"That which does not kill us makes us stronger.")</f>
        <v>That which does not kill us makes us stronger.</v>
      </c>
      <c r="H19" s="197" t="str">
        <f>IFERROR(__xludf.DUMMYFUNCTION("""COMPUTED_VALUE"""),"#REF!")</f>
        <v>#REF!</v>
      </c>
    </row>
    <row r="20">
      <c r="A20" s="197" t="str">
        <f>IFERROR(__xludf.DUMMYFUNCTION("""COMPUTED_VALUE"""),"Nguyễn Anh Vũ")</f>
        <v>Nguyễn Anh Vũ</v>
      </c>
      <c r="B20" s="200" t="str">
        <f>IFERROR(__xludf.DUMMYFUNCTION("""COMPUTED_VALUE"""),"VPA.Vu")</f>
        <v>VPA.Vu</v>
      </c>
      <c r="C20" s="197"/>
      <c r="D20" s="197"/>
      <c r="E20" s="197"/>
      <c r="F20" s="197"/>
      <c r="G20" s="197" t="str">
        <f>IFERROR(__xludf.DUMMYFUNCTION("""COMPUTED_VALUE"""),"...")</f>
        <v>...</v>
      </c>
      <c r="H20" s="197" t="str">
        <f>IFERROR(__xludf.DUMMYFUNCTION("""COMPUTED_VALUE"""),"#REF!")</f>
        <v>#REF!</v>
      </c>
    </row>
    <row r="21">
      <c r="A21" s="197" t="str">
        <f>IFERROR(__xludf.DUMMYFUNCTION("""COMPUTED_VALUE"""),"Trần Ngọc Thành")</f>
        <v>Trần Ngọc Thành</v>
      </c>
      <c r="B21" s="197" t="str">
        <f>IFERROR(__xludf.DUMMYFUNCTION("""COMPUTED_VALUE"""),"VPA.Thanh")</f>
        <v>VPA.Thanh</v>
      </c>
      <c r="C21" s="197"/>
      <c r="D21" s="197"/>
      <c r="E21" s="197"/>
      <c r="F21" s="197"/>
      <c r="G21" s="197" t="str">
        <f>IFERROR(__xludf.DUMMYFUNCTION("""COMPUTED_VALUE"""),"...")</f>
        <v>...</v>
      </c>
      <c r="H21" s="197" t="str">
        <f>IFERROR(__xludf.DUMMYFUNCTION("""COMPUTED_VALUE"""),"#REF!")</f>
        <v>#REF!</v>
      </c>
    </row>
    <row r="22">
      <c r="A22" s="197" t="str">
        <f>IFERROR(__xludf.DUMMYFUNCTION("""COMPUTED_VALUE"""),"Đặng Đình Thuyết")</f>
        <v>Đặng Đình Thuyết</v>
      </c>
      <c r="B22" s="197" t="str">
        <f>IFERROR(__xludf.DUMMYFUNCTION("""COMPUTED_VALUE"""),"ADC.Thuyet")</f>
        <v>ADC.Thuyet</v>
      </c>
      <c r="C22" s="197"/>
      <c r="D22" s="197"/>
      <c r="E22" s="197"/>
      <c r="F22" s="197"/>
      <c r="G22" s="197" t="str">
        <f>IFERROR(__xludf.DUMMYFUNCTION("""COMPUTED_VALUE"""),"Mang Tiền Về Cho Mẹ, Đừng Mang Ưu Phiến Về Cho Mẹ,...")</f>
        <v>Mang Tiền Về Cho Mẹ, Đừng Mang Ưu Phiến Về Cho Mẹ,...</v>
      </c>
      <c r="H22" s="197" t="str">
        <f>IFERROR(__xludf.DUMMYFUNCTION("""COMPUTED_VALUE"""),"#REF!")</f>
        <v>#REF!</v>
      </c>
    </row>
    <row r="23">
      <c r="A23" s="197" t="str">
        <f>IFERROR(__xludf.DUMMYFUNCTION("""COMPUTED_VALUE"""),"Nguyễn Văn Quyết")</f>
        <v>Nguyễn Văn Quyết</v>
      </c>
      <c r="B23" s="197" t="str">
        <f>IFERROR(__xludf.DUMMYFUNCTION("""COMPUTED_VALUE"""),"ADC.Quyet")</f>
        <v>ADC.Quyet</v>
      </c>
      <c r="C23" s="197"/>
      <c r="D23" s="197"/>
      <c r="E23" s="197"/>
      <c r="F23" s="197"/>
      <c r="G23" s="197" t="str">
        <f>IFERROR(__xludf.DUMMYFUNCTION("""COMPUTED_VALUE"""),"...")</f>
        <v>...</v>
      </c>
      <c r="H23" s="197" t="str">
        <f>IFERROR(__xludf.DUMMYFUNCTION("""COMPUTED_VALUE"""),"#REF!")</f>
        <v>#REF!</v>
      </c>
    </row>
    <row r="24">
      <c r="A24" s="197" t="str">
        <f>IFERROR(__xludf.DUMMYFUNCTION("""COMPUTED_VALUE"""),"Nguyễn Đình Kiên")</f>
        <v>Nguyễn Đình Kiên</v>
      </c>
      <c r="B24" s="197" t="str">
        <f>IFERROR(__xludf.DUMMYFUNCTION("""COMPUTED_VALUE"""),"TYM.Kien")</f>
        <v>TYM.Kien</v>
      </c>
      <c r="C24" s="197"/>
      <c r="D24" s="197"/>
      <c r="E24" s="197"/>
      <c r="F24" s="197"/>
      <c r="G24" s="197" t="str">
        <f>IFERROR(__xludf.DUMMYFUNCTION("""COMPUTED_VALUE"""),"...")</f>
        <v>...</v>
      </c>
      <c r="H24" s="197" t="str">
        <f>IFERROR(__xludf.DUMMYFUNCTION("""COMPUTED_VALUE"""),"#REF!")</f>
        <v>#REF!</v>
      </c>
    </row>
    <row r="25">
      <c r="A25" s="197" t="str">
        <f>IFERROR(__xludf.DUMMYFUNCTION("""COMPUTED_VALUE"""),"Âu Thị Hiếu")</f>
        <v>Âu Thị Hiếu</v>
      </c>
      <c r="B25" s="197" t="str">
        <f>IFERROR(__xludf.DUMMYFUNCTION("""COMPUTED_VALUE"""),"100.Hieu")</f>
        <v>100.Hieu</v>
      </c>
      <c r="C25" s="197"/>
      <c r="D25" s="197"/>
      <c r="E25" s="197"/>
      <c r="F25" s="197"/>
      <c r="G25" s="197" t="str">
        <f>IFERROR(__xludf.DUMMYFUNCTION("""COMPUTED_VALUE"""),"Học trường tài chính, chuyên ngành MKT, nhưng lại đi làm phiên dịch tiếng Hàn")</f>
        <v>Học trường tài chính, chuyên ngành MKT, nhưng lại đi làm phiên dịch tiếng Hàn</v>
      </c>
      <c r="H25" s="197" t="str">
        <f>IFERROR(__xludf.DUMMYFUNCTION("""COMPUTED_VALUE"""),"#REF!")</f>
        <v>#REF!</v>
      </c>
    </row>
  </sheetData>
  <hyperlinks>
    <hyperlink r:id="rId1" ref="B20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6.0" topLeftCell="A37" activePane="bottomLeft" state="frozen"/>
      <selection activeCell="B38" sqref="B38" pane="bottomLeft"/>
    </sheetView>
  </sheetViews>
  <sheetFormatPr customHeight="1" defaultColWidth="12.63" defaultRowHeight="15.75"/>
  <cols>
    <col customWidth="1" min="1" max="2" width="18.88"/>
    <col customWidth="1" min="3" max="3" width="21.63"/>
    <col customWidth="1" min="4" max="4" width="34.38"/>
    <col customWidth="1" min="5" max="5" width="37.75"/>
    <col customWidth="1" min="6" max="6" width="26.88"/>
    <col customWidth="1" min="7" max="11" width="18.88"/>
    <col customWidth="1" hidden="1" min="12" max="13" width="18.88"/>
    <col customWidth="1" min="14" max="14" width="26.13"/>
    <col customWidth="1" min="15" max="26" width="18.88"/>
  </cols>
  <sheetData>
    <row r="1">
      <c r="A1" s="363"/>
      <c r="B1" s="363"/>
      <c r="C1" s="363"/>
      <c r="D1" s="363"/>
      <c r="E1" s="363"/>
      <c r="F1" s="415"/>
      <c r="G1" s="415"/>
      <c r="H1" s="415"/>
      <c r="P1" s="416" t="str">
        <f>Summary!E28</f>
        <v>Staff - 인사</v>
      </c>
      <c r="Q1" s="417" t="str">
        <f>vlookup(P1,Summary!$E:$G,3,false)</f>
        <v>Email</v>
      </c>
      <c r="R1" s="418">
        <f t="shared" ref="R1:R27" si="1">if(Q1=$G$40,,sumif($B:$B,Q1,$F:$F)-sumif($D:$E,P1,$E:$E)+sumif($B:$E,Q1,$E:$E))</f>
        <v>0</v>
      </c>
      <c r="S1" s="419"/>
      <c r="T1" s="419"/>
      <c r="U1" s="419"/>
      <c r="V1" s="419"/>
      <c r="W1" s="419"/>
      <c r="X1" s="419"/>
      <c r="Y1" s="419"/>
      <c r="Z1" s="419"/>
    </row>
    <row r="2">
      <c r="A2" s="363"/>
      <c r="B2" s="363"/>
      <c r="C2" s="363"/>
      <c r="D2" s="363"/>
      <c r="E2" s="363"/>
      <c r="F2" s="415"/>
      <c r="G2" s="415"/>
      <c r="H2" s="415"/>
      <c r="P2" s="420" t="s">
        <v>3</v>
      </c>
      <c r="Q2" s="421" t="str">
        <f>vlookup(P2,Summary!$E:$G,3,false)</f>
        <v>hieubt@planadd.com</v>
      </c>
      <c r="R2" s="422">
        <f t="shared" si="1"/>
        <v>0</v>
      </c>
      <c r="S2" s="419"/>
      <c r="T2" s="419"/>
      <c r="U2" s="419"/>
      <c r="V2" s="419"/>
      <c r="W2" s="419"/>
      <c r="X2" s="419"/>
      <c r="Y2" s="419"/>
      <c r="Z2" s="419"/>
    </row>
    <row r="3">
      <c r="A3" s="363"/>
      <c r="B3" s="363"/>
      <c r="C3" s="363"/>
      <c r="D3" s="363"/>
      <c r="E3" s="363"/>
      <c r="F3" s="415"/>
      <c r="G3" s="415"/>
      <c r="H3" s="415"/>
      <c r="P3" s="420" t="s">
        <v>4</v>
      </c>
      <c r="Q3" s="421" t="str">
        <f>vlookup(P3,Summary!$E:$G,3,false)</f>
        <v>dattt@planadd.com</v>
      </c>
      <c r="R3" s="422">
        <f t="shared" si="1"/>
        <v>0</v>
      </c>
      <c r="S3" s="419"/>
      <c r="T3" s="419"/>
      <c r="U3" s="419"/>
      <c r="V3" s="419"/>
      <c r="W3" s="419"/>
      <c r="X3" s="419"/>
      <c r="Y3" s="419"/>
      <c r="Z3" s="419"/>
    </row>
    <row r="4">
      <c r="A4" s="363"/>
      <c r="B4" s="363"/>
      <c r="C4" s="363"/>
      <c r="D4" s="363"/>
      <c r="E4" s="363"/>
      <c r="F4" s="415"/>
      <c r="G4" s="415"/>
      <c r="H4" s="415"/>
      <c r="P4" s="420" t="s">
        <v>5</v>
      </c>
      <c r="Q4" s="421" t="str">
        <f>vlookup(P4,Summary!$E:$G,3,false)</f>
        <v>ntttrang@planadd.com</v>
      </c>
      <c r="R4" s="422">
        <f t="shared" si="1"/>
        <v>0</v>
      </c>
      <c r="S4" s="419"/>
      <c r="T4" s="419"/>
      <c r="U4" s="419"/>
      <c r="V4" s="419"/>
      <c r="W4" s="419"/>
      <c r="X4" s="419"/>
      <c r="Y4" s="419"/>
      <c r="Z4" s="419"/>
    </row>
    <row r="5">
      <c r="A5" s="363"/>
      <c r="B5" s="363"/>
      <c r="C5" s="363"/>
      <c r="D5" s="363"/>
      <c r="E5" s="363"/>
      <c r="F5" s="415"/>
      <c r="G5" s="415"/>
      <c r="H5" s="415"/>
      <c r="P5" s="420" t="s">
        <v>7</v>
      </c>
      <c r="Q5" s="421" t="str">
        <f>vlookup(P5,Summary!$E:$G,3,false)</f>
        <v>quynhln@planadd.com</v>
      </c>
      <c r="R5" s="422">
        <f t="shared" si="1"/>
        <v>0</v>
      </c>
      <c r="S5" s="419"/>
      <c r="T5" s="419"/>
      <c r="U5" s="419"/>
      <c r="V5" s="419"/>
      <c r="W5" s="419"/>
      <c r="X5" s="419"/>
      <c r="Y5" s="419"/>
      <c r="Z5" s="419"/>
    </row>
    <row r="6">
      <c r="A6" s="363"/>
      <c r="B6" s="363"/>
      <c r="C6" s="363"/>
      <c r="D6" s="363"/>
      <c r="E6" s="363"/>
      <c r="F6" s="415"/>
      <c r="G6" s="415"/>
      <c r="H6" s="415"/>
      <c r="P6" s="420" t="s">
        <v>9</v>
      </c>
      <c r="Q6" s="421" t="str">
        <f>vlookup(P6,Summary!$E:$G,3,false)</f>
        <v>lamnt@planadd.com</v>
      </c>
      <c r="R6" s="422">
        <f t="shared" si="1"/>
        <v>0</v>
      </c>
      <c r="S6" s="419"/>
      <c r="T6" s="419"/>
      <c r="U6" s="419"/>
      <c r="V6" s="419"/>
      <c r="W6" s="419"/>
      <c r="X6" s="419"/>
      <c r="Y6" s="419"/>
      <c r="Z6" s="419"/>
    </row>
    <row r="7">
      <c r="A7" s="363"/>
      <c r="B7" s="363"/>
      <c r="C7" s="363"/>
      <c r="D7" s="363"/>
      <c r="E7" s="363"/>
      <c r="F7" s="415"/>
      <c r="G7" s="415"/>
      <c r="H7" s="415"/>
      <c r="P7" s="420" t="s">
        <v>10</v>
      </c>
      <c r="Q7" s="421" t="str">
        <f>vlookup(P7,Summary!$E:$G,3,false)</f>
        <v>vttgiang@planadd.com</v>
      </c>
      <c r="R7" s="422">
        <f t="shared" si="1"/>
        <v>0</v>
      </c>
      <c r="S7" s="419"/>
      <c r="T7" s="419"/>
      <c r="U7" s="419"/>
      <c r="V7" s="419"/>
      <c r="W7" s="419"/>
      <c r="X7" s="419"/>
      <c r="Y7" s="419"/>
      <c r="Z7" s="419"/>
    </row>
    <row r="8">
      <c r="A8" s="363"/>
      <c r="B8" s="363"/>
      <c r="C8" s="363"/>
      <c r="D8" s="363"/>
      <c r="E8" s="363"/>
      <c r="F8" s="415"/>
      <c r="G8" s="415"/>
      <c r="H8" s="415"/>
      <c r="P8" s="420" t="s">
        <v>11</v>
      </c>
      <c r="Q8" s="421" t="str">
        <f>vlookup(P8,Summary!$E:$G,3,false)</f>
        <v>laquan@planadd.com</v>
      </c>
      <c r="R8" s="422">
        <f t="shared" si="1"/>
        <v>0</v>
      </c>
      <c r="S8" s="419"/>
      <c r="T8" s="419"/>
      <c r="U8" s="419"/>
      <c r="V8" s="419"/>
      <c r="W8" s="419"/>
      <c r="X8" s="419"/>
      <c r="Y8" s="419"/>
      <c r="Z8" s="419"/>
    </row>
    <row r="9">
      <c r="A9" s="363"/>
      <c r="B9" s="363"/>
      <c r="C9" s="363"/>
      <c r="D9" s="363"/>
      <c r="E9" s="363"/>
      <c r="F9" s="415"/>
      <c r="G9" s="415"/>
      <c r="H9" s="415"/>
      <c r="P9" s="420" t="s">
        <v>12</v>
      </c>
      <c r="Q9" s="421" t="str">
        <f>vlookup(P9,Summary!$E:$G,3,false)</f>
        <v>giangdt@planadd.com</v>
      </c>
      <c r="R9" s="422">
        <f t="shared" si="1"/>
        <v>0</v>
      </c>
      <c r="S9" s="419"/>
      <c r="T9" s="419"/>
      <c r="U9" s="419"/>
      <c r="V9" s="419"/>
      <c r="W9" s="419"/>
      <c r="X9" s="419"/>
      <c r="Y9" s="419"/>
      <c r="Z9" s="419"/>
    </row>
    <row r="10">
      <c r="A10" s="363"/>
      <c r="B10" s="363"/>
      <c r="C10" s="363"/>
      <c r="D10" s="363"/>
      <c r="E10" s="363"/>
      <c r="F10" s="415"/>
      <c r="G10" s="415"/>
      <c r="H10" s="415"/>
      <c r="P10" s="420" t="s">
        <v>13</v>
      </c>
      <c r="Q10" s="421" t="str">
        <f>vlookup(P10,Summary!$E:$G,3,false)</f>
        <v>nlhuong@planadd.com</v>
      </c>
      <c r="R10" s="422">
        <f t="shared" si="1"/>
        <v>0</v>
      </c>
      <c r="S10" s="419"/>
      <c r="T10" s="419"/>
      <c r="U10" s="419"/>
      <c r="V10" s="419"/>
      <c r="W10" s="419"/>
      <c r="X10" s="419"/>
      <c r="Y10" s="419"/>
      <c r="Z10" s="419"/>
    </row>
    <row r="11">
      <c r="A11" s="363"/>
      <c r="B11" s="363"/>
      <c r="C11" s="363"/>
      <c r="D11" s="363"/>
      <c r="E11" s="363"/>
      <c r="F11" s="415"/>
      <c r="G11" s="415"/>
      <c r="H11" s="415"/>
      <c r="P11" s="420" t="s">
        <v>14</v>
      </c>
      <c r="Q11" s="421" t="str">
        <f>vlookup(P11,Summary!$E:$G,3,false)</f>
        <v>ndkien@add-group.net</v>
      </c>
      <c r="R11" s="422">
        <f t="shared" si="1"/>
        <v>0</v>
      </c>
      <c r="S11" s="419"/>
      <c r="T11" s="419"/>
      <c r="U11" s="419"/>
      <c r="V11" s="419"/>
      <c r="W11" s="419"/>
      <c r="X11" s="419"/>
      <c r="Y11" s="419"/>
      <c r="Z11" s="419"/>
    </row>
    <row r="12">
      <c r="A12" s="363"/>
      <c r="B12" s="363"/>
      <c r="C12" s="363"/>
      <c r="D12" s="363"/>
      <c r="E12" s="363"/>
      <c r="F12" s="415"/>
      <c r="G12" s="415"/>
      <c r="H12" s="415"/>
      <c r="P12" s="420" t="s">
        <v>16</v>
      </c>
      <c r="Q12" s="421" t="str">
        <f>vlookup(P12,Summary!$E:$G,3,false)</f>
        <v>thangnd@planadd.com</v>
      </c>
      <c r="R12" s="422">
        <f t="shared" si="1"/>
        <v>0</v>
      </c>
      <c r="S12" s="419"/>
      <c r="T12" s="419"/>
      <c r="U12" s="419"/>
      <c r="V12" s="419"/>
      <c r="W12" s="419"/>
      <c r="X12" s="419"/>
      <c r="Y12" s="419"/>
      <c r="Z12" s="419"/>
    </row>
    <row r="13">
      <c r="A13" s="363"/>
      <c r="B13" s="363"/>
      <c r="C13" s="363"/>
      <c r="D13" s="363"/>
      <c r="E13" s="363"/>
      <c r="F13" s="415"/>
      <c r="G13" s="415"/>
      <c r="H13" s="415"/>
      <c r="P13" s="420" t="s">
        <v>17</v>
      </c>
      <c r="Q13" s="421" t="str">
        <f>vlookup(P13,Summary!$E:$G,3,false)</f>
        <v>ddthuyet@add-group.net</v>
      </c>
      <c r="R13" s="422">
        <f t="shared" si="1"/>
        <v>0</v>
      </c>
      <c r="S13" s="419"/>
      <c r="T13" s="419"/>
      <c r="U13" s="419"/>
      <c r="V13" s="419"/>
      <c r="W13" s="419"/>
      <c r="X13" s="419"/>
      <c r="Y13" s="419"/>
      <c r="Z13" s="419"/>
    </row>
    <row r="14">
      <c r="A14" s="363"/>
      <c r="B14" s="363"/>
      <c r="C14" s="363"/>
      <c r="D14" s="363"/>
      <c r="E14" s="363"/>
      <c r="F14" s="415"/>
      <c r="G14" s="415"/>
      <c r="H14" s="415"/>
      <c r="P14" s="420" t="s">
        <v>90</v>
      </c>
      <c r="Q14" s="421" t="str">
        <f>vlookup(P14,Summary!$E:$G,3,false)</f>
        <v>namnt@planadd.com</v>
      </c>
      <c r="R14" s="422">
        <f t="shared" si="1"/>
        <v>0</v>
      </c>
      <c r="S14" s="419"/>
      <c r="T14" s="419"/>
      <c r="U14" s="419"/>
      <c r="V14" s="419"/>
      <c r="W14" s="419"/>
      <c r="X14" s="419"/>
      <c r="Y14" s="419"/>
      <c r="Z14" s="419"/>
    </row>
    <row r="15">
      <c r="A15" s="363"/>
      <c r="B15" s="363"/>
      <c r="C15" s="363"/>
      <c r="D15" s="363"/>
      <c r="E15" s="363"/>
      <c r="F15" s="415"/>
      <c r="G15" s="415"/>
      <c r="H15" s="415"/>
      <c r="P15" s="416" t="str">
        <f>Summary!E44</f>
        <v/>
      </c>
      <c r="Q15" s="421" t="str">
        <f>vlookup(P15,Summary!$E:$G,3,false)</f>
        <v>#N/A</v>
      </c>
      <c r="R15" s="422" t="str">
        <f t="shared" si="1"/>
        <v>#N/A</v>
      </c>
      <c r="S15" s="419"/>
      <c r="T15" s="419"/>
      <c r="U15" s="419"/>
      <c r="V15" s="419"/>
      <c r="W15" s="419"/>
      <c r="X15" s="419"/>
      <c r="Y15" s="419"/>
      <c r="Z15" s="419"/>
    </row>
    <row r="16">
      <c r="A16" s="363"/>
      <c r="B16" s="363"/>
      <c r="C16" s="363"/>
      <c r="D16" s="363"/>
      <c r="E16" s="363"/>
      <c r="F16" s="415"/>
      <c r="G16" s="415"/>
      <c r="H16" s="415"/>
      <c r="P16" s="420" t="s">
        <v>18</v>
      </c>
      <c r="Q16" s="421" t="str">
        <f>vlookup(P16,Summary!$E:$G,3,false)</f>
        <v>tientt@add-group.net</v>
      </c>
      <c r="R16" s="422">
        <f t="shared" si="1"/>
        <v>0</v>
      </c>
      <c r="S16" s="419"/>
      <c r="T16" s="419"/>
      <c r="U16" s="419"/>
      <c r="V16" s="419"/>
      <c r="W16" s="419"/>
      <c r="X16" s="419"/>
      <c r="Y16" s="419"/>
      <c r="Z16" s="419"/>
    </row>
    <row r="17">
      <c r="A17" s="363"/>
      <c r="B17" s="363"/>
      <c r="C17" s="363"/>
      <c r="D17" s="363"/>
      <c r="E17" s="363"/>
      <c r="F17" s="415"/>
      <c r="G17" s="415"/>
      <c r="H17" s="415"/>
      <c r="P17" s="420" t="s">
        <v>19</v>
      </c>
      <c r="Q17" s="421" t="str">
        <f>vlookup(P17,Summary!$E:$G,3,false)</f>
        <v>tvluat@add-group.net</v>
      </c>
      <c r="R17" s="422">
        <f t="shared" si="1"/>
        <v>0</v>
      </c>
      <c r="S17" s="419"/>
      <c r="T17" s="419"/>
      <c r="U17" s="419"/>
      <c r="V17" s="419"/>
      <c r="W17" s="419"/>
      <c r="X17" s="419"/>
      <c r="Y17" s="419"/>
      <c r="Z17" s="419"/>
    </row>
    <row r="18">
      <c r="A18" s="363"/>
      <c r="B18" s="363"/>
      <c r="C18" s="363"/>
      <c r="D18" s="363"/>
      <c r="E18" s="363"/>
      <c r="F18" s="415"/>
      <c r="G18" s="415"/>
      <c r="H18" s="415"/>
      <c r="P18" s="420" t="s">
        <v>20</v>
      </c>
      <c r="Q18" s="421" t="str">
        <f>vlookup(P18,Summary!$E:$G,3,false)</f>
        <v>800.1@add-group.net</v>
      </c>
      <c r="R18" s="422">
        <f t="shared" si="1"/>
        <v>0</v>
      </c>
      <c r="S18" s="419"/>
      <c r="T18" s="419"/>
      <c r="U18" s="419"/>
      <c r="V18" s="419"/>
      <c r="W18" s="419"/>
      <c r="X18" s="419"/>
      <c r="Y18" s="419"/>
      <c r="Z18" s="419"/>
    </row>
    <row r="19">
      <c r="A19" s="363"/>
      <c r="B19" s="363"/>
      <c r="C19" s="363"/>
      <c r="D19" s="363"/>
      <c r="E19" s="363"/>
      <c r="F19" s="415"/>
      <c r="G19" s="415"/>
      <c r="H19" s="415"/>
      <c r="P19" s="420" t="s">
        <v>21</v>
      </c>
      <c r="Q19" s="421" t="str">
        <f>vlookup(P19,Summary!$E:$G,3,false)</f>
        <v>nqtrang@add-group.net</v>
      </c>
      <c r="R19" s="422">
        <f t="shared" si="1"/>
        <v>0</v>
      </c>
      <c r="S19" s="419"/>
      <c r="T19" s="419"/>
      <c r="U19" s="419"/>
      <c r="V19" s="419"/>
      <c r="W19" s="419"/>
      <c r="X19" s="419"/>
      <c r="Y19" s="419"/>
      <c r="Z19" s="419"/>
    </row>
    <row r="20">
      <c r="A20" s="363"/>
      <c r="B20" s="363"/>
      <c r="C20" s="363"/>
      <c r="D20" s="363"/>
      <c r="E20" s="363"/>
      <c r="F20" s="415"/>
      <c r="G20" s="415"/>
      <c r="H20" s="415"/>
      <c r="P20" s="420" t="s">
        <v>22</v>
      </c>
      <c r="Q20" s="421" t="str">
        <f>vlookup(P20,Summary!$E:$G,3,false)</f>
        <v>ltsim@add-group.net</v>
      </c>
      <c r="R20" s="422">
        <f t="shared" si="1"/>
        <v>0</v>
      </c>
      <c r="S20" s="419"/>
      <c r="T20" s="419"/>
      <c r="U20" s="419"/>
      <c r="V20" s="419"/>
      <c r="W20" s="419"/>
      <c r="X20" s="419"/>
      <c r="Y20" s="419"/>
      <c r="Z20" s="419"/>
    </row>
    <row r="21">
      <c r="A21" s="363"/>
      <c r="B21" s="363"/>
      <c r="C21" s="363"/>
      <c r="D21" s="363"/>
      <c r="E21" s="363"/>
      <c r="F21" s="415"/>
      <c r="G21" s="415"/>
      <c r="H21" s="415"/>
      <c r="P21" s="420" t="s">
        <v>23</v>
      </c>
      <c r="Q21" s="421" t="str">
        <f>vlookup(P21,Summary!$E:$G,3,false)</f>
        <v>ntthuy@add-group.net</v>
      </c>
      <c r="R21" s="422">
        <f t="shared" si="1"/>
        <v>0</v>
      </c>
      <c r="S21" s="419"/>
      <c r="T21" s="419"/>
      <c r="U21" s="419"/>
      <c r="V21" s="419"/>
      <c r="W21" s="419"/>
      <c r="X21" s="419"/>
      <c r="Y21" s="419"/>
      <c r="Z21" s="419"/>
    </row>
    <row r="22">
      <c r="A22" s="363"/>
      <c r="B22" s="363"/>
      <c r="C22" s="363"/>
      <c r="D22" s="363"/>
      <c r="E22" s="363"/>
      <c r="F22" s="415"/>
      <c r="G22" s="415"/>
      <c r="H22" s="415"/>
      <c r="P22" s="420" t="s">
        <v>24</v>
      </c>
      <c r="Q22" s="421" t="str">
        <f>vlookup(P22,Summary!$E:$G,3,false)</f>
        <v>vthong@add-group.net</v>
      </c>
      <c r="R22" s="422">
        <f t="shared" si="1"/>
        <v>0</v>
      </c>
      <c r="S22" s="419"/>
      <c r="T22" s="419"/>
      <c r="U22" s="419"/>
      <c r="V22" s="419"/>
      <c r="W22" s="419"/>
      <c r="X22" s="419"/>
      <c r="Y22" s="419"/>
      <c r="Z22" s="419"/>
    </row>
    <row r="23">
      <c r="A23" s="363"/>
      <c r="B23" s="363"/>
      <c r="C23" s="363"/>
      <c r="D23" s="363"/>
      <c r="E23" s="363"/>
      <c r="F23" s="415"/>
      <c r="G23" s="415"/>
      <c r="H23" s="415"/>
      <c r="P23" s="420" t="s">
        <v>25</v>
      </c>
      <c r="Q23" s="421" t="str">
        <f>vlookup(P23,Summary!$E:$G,3,false)</f>
        <v>tmtam@add-group.net</v>
      </c>
      <c r="R23" s="422">
        <f t="shared" si="1"/>
        <v>0</v>
      </c>
      <c r="S23" s="419"/>
      <c r="T23" s="419"/>
      <c r="U23" s="419"/>
      <c r="V23" s="419"/>
      <c r="W23" s="419"/>
      <c r="X23" s="419"/>
      <c r="Y23" s="419"/>
      <c r="Z23" s="419"/>
    </row>
    <row r="24">
      <c r="A24" s="363"/>
      <c r="B24" s="363"/>
      <c r="C24" s="363"/>
      <c r="D24" s="363"/>
      <c r="E24" s="363"/>
      <c r="F24" s="415"/>
      <c r="G24" s="415"/>
      <c r="H24" s="415"/>
      <c r="P24" s="420" t="s">
        <v>27</v>
      </c>
      <c r="Q24" s="421" t="str">
        <f>vlookup(P24,Summary!$E:$G,3,false)</f>
        <v>thaotn@planadd.com</v>
      </c>
      <c r="R24" s="422">
        <f t="shared" si="1"/>
        <v>0</v>
      </c>
      <c r="S24" s="419"/>
      <c r="T24" s="419"/>
      <c r="U24" s="419"/>
      <c r="V24" s="419"/>
      <c r="W24" s="419"/>
      <c r="X24" s="419"/>
      <c r="Y24" s="419"/>
      <c r="Z24" s="419"/>
    </row>
    <row r="25">
      <c r="A25" s="363"/>
      <c r="B25" s="363"/>
      <c r="C25" s="363"/>
      <c r="D25" s="363"/>
      <c r="E25" s="363"/>
      <c r="F25" s="415"/>
      <c r="G25" s="415"/>
      <c r="H25" s="415"/>
      <c r="P25" s="420" t="s">
        <v>29</v>
      </c>
      <c r="Q25" s="421" t="str">
        <f>vlookup(P25,Summary!$E:$G,3,false)</f>
        <v>quyenlt@add-group.net</v>
      </c>
      <c r="R25" s="422">
        <f t="shared" si="1"/>
        <v>0</v>
      </c>
      <c r="S25" s="419"/>
      <c r="T25" s="419"/>
      <c r="U25" s="419"/>
      <c r="V25" s="419"/>
      <c r="W25" s="419"/>
      <c r="X25" s="419"/>
      <c r="Y25" s="419"/>
      <c r="Z25" s="419"/>
    </row>
    <row r="26">
      <c r="A26" s="363"/>
      <c r="B26" s="363"/>
      <c r="C26" s="363"/>
      <c r="D26" s="363"/>
      <c r="E26" s="363"/>
      <c r="F26" s="415"/>
      <c r="G26" s="415"/>
      <c r="H26" s="415"/>
      <c r="P26" s="420" t="s">
        <v>30</v>
      </c>
      <c r="Q26" s="421" t="str">
        <f>vlookup(P26,Summary!$E:$G,3,false)</f>
        <v>athieu@add-group.net</v>
      </c>
      <c r="R26" s="422">
        <f t="shared" si="1"/>
        <v>0</v>
      </c>
      <c r="S26" s="419"/>
      <c r="T26" s="419"/>
      <c r="U26" s="419"/>
      <c r="V26" s="419"/>
      <c r="W26" s="419"/>
      <c r="X26" s="419"/>
      <c r="Y26" s="419"/>
      <c r="Z26" s="419"/>
    </row>
    <row r="27">
      <c r="A27" s="363"/>
      <c r="B27" s="363"/>
      <c r="C27" s="363"/>
      <c r="D27" s="363"/>
      <c r="E27" s="363"/>
      <c r="F27" s="415"/>
      <c r="G27" s="415"/>
      <c r="H27" s="415"/>
      <c r="P27" s="416" t="str">
        <f>Summary!E56</f>
        <v/>
      </c>
      <c r="Q27" s="421" t="str">
        <f>vlookup(P27,Summary!$E:$G,3,false)</f>
        <v>#N/A</v>
      </c>
      <c r="R27" s="422" t="str">
        <f t="shared" si="1"/>
        <v>#N/A</v>
      </c>
      <c r="S27" s="419"/>
      <c r="T27" s="419"/>
      <c r="U27" s="419"/>
      <c r="V27" s="419"/>
      <c r="W27" s="419"/>
      <c r="X27" s="419"/>
      <c r="Y27" s="419"/>
      <c r="Z27" s="419"/>
    </row>
    <row r="28">
      <c r="A28" s="363"/>
      <c r="B28" s="363"/>
      <c r="C28" s="363"/>
      <c r="D28" s="363"/>
      <c r="E28" s="363"/>
      <c r="F28" s="415"/>
      <c r="G28" s="415"/>
      <c r="H28" s="415"/>
      <c r="P28" s="416" t="str">
        <f>Summary!E57</f>
        <v/>
      </c>
      <c r="Q28" s="421"/>
      <c r="R28" s="422"/>
      <c r="S28" s="419"/>
      <c r="T28" s="419"/>
      <c r="U28" s="419"/>
      <c r="V28" s="419"/>
      <c r="W28" s="419"/>
      <c r="X28" s="419"/>
      <c r="Y28" s="419"/>
      <c r="Z28" s="419"/>
    </row>
    <row r="29">
      <c r="A29" s="363"/>
      <c r="B29" s="363"/>
      <c r="C29" s="363"/>
      <c r="D29" s="363"/>
      <c r="E29" s="363"/>
      <c r="F29" s="415"/>
      <c r="G29" s="415"/>
      <c r="H29" s="415"/>
      <c r="P29" s="416" t="str">
        <f>Summary!E58</f>
        <v/>
      </c>
      <c r="Q29" s="421"/>
      <c r="R29" s="423"/>
      <c r="S29" s="89"/>
      <c r="T29" s="89"/>
      <c r="U29" s="89"/>
      <c r="V29" s="89"/>
      <c r="W29" s="89"/>
      <c r="X29" s="89"/>
      <c r="Y29" s="89"/>
      <c r="Z29" s="89"/>
    </row>
    <row r="30">
      <c r="A30" s="363"/>
      <c r="B30" s="363"/>
      <c r="C30" s="363"/>
      <c r="D30" s="363"/>
      <c r="E30" s="363"/>
      <c r="F30" s="415"/>
      <c r="G30" s="415"/>
      <c r="H30" s="415"/>
      <c r="P30" s="416" t="str">
        <f>Summary!E59</f>
        <v/>
      </c>
      <c r="Q30" s="423"/>
      <c r="R30" s="423"/>
      <c r="S30" s="89"/>
      <c r="T30" s="89"/>
      <c r="U30" s="89"/>
      <c r="V30" s="89"/>
      <c r="W30" s="89"/>
      <c r="X30" s="89"/>
      <c r="Y30" s="89"/>
      <c r="Z30" s="89"/>
    </row>
    <row r="31">
      <c r="A31" s="363"/>
      <c r="B31" s="363"/>
      <c r="C31" s="363"/>
      <c r="D31" s="363"/>
      <c r="E31" s="363"/>
      <c r="F31" s="415"/>
      <c r="G31" s="415"/>
      <c r="H31" s="415"/>
      <c r="P31" s="416" t="str">
        <f>Summary!E60</f>
        <v/>
      </c>
      <c r="Q31" s="423"/>
      <c r="R31" s="423"/>
      <c r="S31" s="89"/>
      <c r="T31" s="89"/>
      <c r="U31" s="89"/>
      <c r="V31" s="89"/>
      <c r="W31" s="89"/>
      <c r="X31" s="89"/>
      <c r="Y31" s="89"/>
      <c r="Z31" s="89"/>
    </row>
    <row r="32">
      <c r="A32" s="363"/>
      <c r="B32" s="363"/>
      <c r="C32" s="363"/>
      <c r="D32" s="363"/>
      <c r="E32" s="363"/>
      <c r="F32" s="415"/>
      <c r="G32" s="415"/>
      <c r="H32" s="415"/>
      <c r="P32" s="424"/>
      <c r="Q32" s="423"/>
      <c r="R32" s="423"/>
      <c r="S32" s="89"/>
      <c r="T32" s="89"/>
      <c r="U32" s="89"/>
      <c r="V32" s="89"/>
      <c r="W32" s="89"/>
      <c r="X32" s="89"/>
      <c r="Y32" s="89"/>
      <c r="Z32" s="89"/>
    </row>
    <row r="33">
      <c r="A33" s="363"/>
      <c r="B33" s="363"/>
      <c r="C33" s="363"/>
      <c r="D33" s="363"/>
      <c r="E33" s="363"/>
      <c r="F33" s="415"/>
      <c r="G33" s="415"/>
      <c r="H33" s="415"/>
      <c r="P33" s="424"/>
      <c r="Q33" s="423"/>
      <c r="R33" s="423"/>
      <c r="S33" s="89"/>
      <c r="T33" s="89"/>
      <c r="U33" s="89"/>
      <c r="V33" s="89"/>
      <c r="W33" s="89"/>
      <c r="X33" s="89"/>
      <c r="Y33" s="89"/>
      <c r="Z33" s="89"/>
    </row>
    <row r="34">
      <c r="A34" s="363"/>
      <c r="B34" s="363"/>
      <c r="C34" s="363"/>
      <c r="D34" s="363"/>
      <c r="E34" s="363"/>
      <c r="F34" s="415"/>
      <c r="G34" s="415"/>
      <c r="H34" s="415"/>
      <c r="P34" s="424"/>
      <c r="Q34" s="423"/>
      <c r="R34" s="423"/>
      <c r="S34" s="89"/>
      <c r="T34" s="89"/>
      <c r="U34" s="89"/>
      <c r="V34" s="89"/>
      <c r="W34" s="89"/>
      <c r="X34" s="89"/>
      <c r="Y34" s="89"/>
      <c r="Z34" s="89"/>
    </row>
    <row r="35">
      <c r="A35" s="363" t="s">
        <v>305</v>
      </c>
      <c r="B35" s="363" t="s">
        <v>306</v>
      </c>
      <c r="C35" s="363" t="s">
        <v>307</v>
      </c>
      <c r="D35" s="363" t="s">
        <v>308</v>
      </c>
      <c r="E35" s="363" t="s">
        <v>309</v>
      </c>
      <c r="F35" s="415"/>
      <c r="G35" s="415"/>
      <c r="H35" s="415"/>
      <c r="I35" s="298" t="s">
        <v>310</v>
      </c>
      <c r="P35" s="424"/>
      <c r="Q35" s="423"/>
      <c r="R35" s="423"/>
      <c r="S35" s="89"/>
      <c r="T35" s="89"/>
      <c r="U35" s="89"/>
      <c r="V35" s="89"/>
      <c r="W35" s="89"/>
      <c r="X35" s="89"/>
      <c r="Y35" s="89"/>
      <c r="Z35" s="89"/>
    </row>
    <row r="36">
      <c r="A36" s="197" t="s">
        <v>311</v>
      </c>
      <c r="B36" s="197" t="s">
        <v>306</v>
      </c>
      <c r="C36" s="197" t="s">
        <v>312</v>
      </c>
      <c r="D36" s="298" t="s">
        <v>313</v>
      </c>
      <c r="E36" s="298" t="s">
        <v>314</v>
      </c>
      <c r="F36" s="298" t="s">
        <v>315</v>
      </c>
      <c r="G36" s="298" t="s">
        <v>316</v>
      </c>
      <c r="H36" s="298" t="s">
        <v>317</v>
      </c>
      <c r="I36" s="425" t="str">
        <f t="array" ref="I36:N190">sort(A:F,A:A,false)</f>
        <v>Timestamp</v>
      </c>
      <c r="J36" s="197" t="s">
        <v>306</v>
      </c>
      <c r="K36" s="426" t="s">
        <v>312</v>
      </c>
      <c r="L36" s="197" t="s">
        <v>313</v>
      </c>
      <c r="M36" s="197" t="s">
        <v>314</v>
      </c>
      <c r="N36" s="426" t="s">
        <v>315</v>
      </c>
      <c r="O36" s="347" t="s">
        <v>318</v>
      </c>
      <c r="P36" s="424"/>
      <c r="Q36" s="423"/>
      <c r="R36" s="423"/>
      <c r="S36" s="89"/>
      <c r="T36" s="89"/>
      <c r="U36" s="89"/>
      <c r="V36" s="89"/>
      <c r="W36" s="89"/>
      <c r="X36" s="89"/>
      <c r="Y36" s="89"/>
      <c r="Z36" s="89"/>
    </row>
    <row r="37">
      <c r="A37" s="221"/>
      <c r="I37" s="197" t="s">
        <v>305</v>
      </c>
      <c r="J37" s="197" t="s">
        <v>306</v>
      </c>
      <c r="K37" s="197" t="s">
        <v>307</v>
      </c>
      <c r="L37" s="197" t="s">
        <v>308</v>
      </c>
      <c r="M37" s="197" t="s">
        <v>309</v>
      </c>
      <c r="N37" s="197"/>
    </row>
    <row r="38">
      <c r="A38" s="221"/>
      <c r="I38" s="197"/>
      <c r="J38" s="197"/>
      <c r="K38" s="197"/>
      <c r="L38" s="197"/>
      <c r="M38" s="197"/>
      <c r="N38" s="197"/>
      <c r="O38" s="197" t="str">
        <f>if(J38=R23,,vlookup(J38,$P$3:$Q$36,1,false))</f>
        <v/>
      </c>
      <c r="S38" s="200" t="str">
        <f>HYPERLINK("https://www.google.com/calendar/event?eid=cmpwaGFuYm44YnJyNDBpNGRzdHVvNTQxY2cgdHZsdWF0QGFkZC1ncm91cC5uZXQ","View Event")</f>
        <v>View Event</v>
      </c>
    </row>
    <row r="39">
      <c r="A39" s="221"/>
      <c r="I39" s="197"/>
      <c r="J39" s="197"/>
      <c r="K39" s="197"/>
      <c r="L39" s="197"/>
      <c r="M39" s="197"/>
      <c r="N39" s="197"/>
      <c r="O39" s="197" t="str">
        <f t="shared" ref="O39:O54" si="2">if(J39=R24,, vlookup(J39,$P$3:$Q$36,1,false))</f>
        <v/>
      </c>
    </row>
    <row r="40">
      <c r="A40" s="221"/>
      <c r="I40" s="197"/>
      <c r="J40" s="197"/>
      <c r="K40" s="197"/>
      <c r="L40" s="197"/>
      <c r="M40" s="197"/>
      <c r="N40" s="197"/>
      <c r="O40" s="197" t="str">
        <f t="shared" si="2"/>
        <v/>
      </c>
    </row>
    <row r="41">
      <c r="A41" s="221"/>
      <c r="I41" s="197"/>
      <c r="J41" s="197"/>
      <c r="K41" s="197"/>
      <c r="L41" s="197"/>
      <c r="M41" s="197"/>
      <c r="N41" s="197"/>
      <c r="O41" s="197" t="str">
        <f t="shared" si="2"/>
        <v/>
      </c>
    </row>
    <row r="42">
      <c r="A42" s="221"/>
      <c r="I42" s="197"/>
      <c r="J42" s="197"/>
      <c r="K42" s="197"/>
      <c r="L42" s="197"/>
      <c r="M42" s="197"/>
      <c r="N42" s="197"/>
      <c r="O42" s="197" t="str">
        <f t="shared" si="2"/>
        <v>#N/A</v>
      </c>
    </row>
    <row r="43">
      <c r="A43" s="221"/>
      <c r="I43" s="197"/>
      <c r="J43" s="197"/>
      <c r="K43" s="197"/>
      <c r="L43" s="197"/>
      <c r="M43" s="197"/>
      <c r="N43" s="197"/>
      <c r="O43" s="197" t="str">
        <f t="shared" si="2"/>
        <v/>
      </c>
      <c r="S43" s="427" t="s">
        <v>173</v>
      </c>
      <c r="T43" s="427"/>
      <c r="U43" s="427"/>
      <c r="V43" s="427"/>
      <c r="W43" s="427"/>
      <c r="X43" s="427"/>
      <c r="Y43" s="427"/>
      <c r="Z43" s="427"/>
    </row>
    <row r="44">
      <c r="A44" s="221"/>
      <c r="I44" s="197"/>
      <c r="J44" s="197"/>
      <c r="K44" s="197"/>
      <c r="L44" s="197"/>
      <c r="M44" s="197"/>
      <c r="N44" s="197"/>
      <c r="O44" s="197" t="str">
        <f t="shared" si="2"/>
        <v/>
      </c>
    </row>
    <row r="45">
      <c r="A45" s="221"/>
      <c r="I45" s="197"/>
      <c r="J45" s="197"/>
      <c r="K45" s="197"/>
      <c r="L45" s="197"/>
      <c r="M45" s="197"/>
      <c r="N45" s="197"/>
      <c r="O45" s="197" t="str">
        <f t="shared" si="2"/>
        <v/>
      </c>
      <c r="S45" s="427" t="s">
        <v>181</v>
      </c>
      <c r="T45" s="427"/>
      <c r="U45" s="427"/>
      <c r="V45" s="427"/>
      <c r="W45" s="427"/>
      <c r="X45" s="427"/>
      <c r="Y45" s="427"/>
      <c r="Z45" s="427"/>
    </row>
    <row r="46">
      <c r="A46" s="221"/>
      <c r="I46" s="197"/>
      <c r="J46" s="197"/>
      <c r="K46" s="197"/>
      <c r="L46" s="197"/>
      <c r="M46" s="197"/>
      <c r="N46" s="197"/>
      <c r="O46" s="197" t="str">
        <f t="shared" si="2"/>
        <v/>
      </c>
    </row>
    <row r="47">
      <c r="A47" s="221"/>
      <c r="I47" s="197"/>
      <c r="J47" s="197"/>
      <c r="K47" s="197"/>
      <c r="L47" s="197"/>
      <c r="M47" s="197"/>
      <c r="N47" s="197"/>
      <c r="O47" s="197" t="str">
        <f t="shared" si="2"/>
        <v/>
      </c>
      <c r="S47" s="428" t="s">
        <v>185</v>
      </c>
      <c r="T47" s="428"/>
      <c r="U47" s="428"/>
      <c r="V47" s="428"/>
      <c r="W47" s="428"/>
      <c r="X47" s="428"/>
      <c r="Y47" s="428"/>
      <c r="Z47" s="428"/>
    </row>
    <row r="48">
      <c r="A48" s="221"/>
      <c r="I48" s="197"/>
      <c r="J48" s="197"/>
      <c r="K48" s="197"/>
      <c r="L48" s="197"/>
      <c r="M48" s="197"/>
      <c r="N48" s="197"/>
      <c r="O48" s="197" t="str">
        <f t="shared" si="2"/>
        <v/>
      </c>
    </row>
    <row r="49">
      <c r="A49" s="221"/>
      <c r="I49" s="197"/>
      <c r="J49" s="197"/>
      <c r="K49" s="197"/>
      <c r="L49" s="197"/>
      <c r="M49" s="197"/>
      <c r="N49" s="197"/>
      <c r="O49" s="197" t="str">
        <f t="shared" si="2"/>
        <v/>
      </c>
      <c r="S49" s="429" t="s">
        <v>188</v>
      </c>
      <c r="T49" s="429"/>
      <c r="U49" s="429"/>
      <c r="V49" s="429"/>
      <c r="W49" s="429"/>
      <c r="X49" s="429"/>
      <c r="Y49" s="429"/>
      <c r="Z49" s="429"/>
    </row>
    <row r="50">
      <c r="A50" s="221"/>
      <c r="I50" s="197"/>
      <c r="J50" s="197"/>
      <c r="K50" s="197"/>
      <c r="L50" s="197"/>
      <c r="M50" s="197"/>
      <c r="N50" s="197"/>
      <c r="O50" s="197" t="str">
        <f t="shared" si="2"/>
        <v/>
      </c>
    </row>
    <row r="51">
      <c r="A51" s="221"/>
      <c r="D51" s="197"/>
      <c r="E51" s="197"/>
      <c r="I51" s="197"/>
      <c r="J51" s="197"/>
      <c r="K51" s="197"/>
      <c r="L51" s="197"/>
      <c r="M51" s="197"/>
      <c r="N51" s="197"/>
      <c r="O51" s="197" t="str">
        <f t="shared" si="2"/>
        <v/>
      </c>
      <c r="S51" s="428" t="s">
        <v>191</v>
      </c>
      <c r="T51" s="428"/>
      <c r="U51" s="428"/>
      <c r="V51" s="428"/>
      <c r="W51" s="428"/>
      <c r="X51" s="428"/>
      <c r="Y51" s="428"/>
      <c r="Z51" s="428"/>
    </row>
    <row r="52">
      <c r="A52" s="221"/>
      <c r="D52" s="197"/>
      <c r="E52" s="197"/>
      <c r="I52" s="197"/>
      <c r="J52" s="197"/>
      <c r="K52" s="197"/>
      <c r="L52" s="197"/>
      <c r="M52" s="197"/>
      <c r="N52" s="197"/>
      <c r="O52" s="197" t="str">
        <f t="shared" si="2"/>
        <v/>
      </c>
      <c r="S52" s="430"/>
      <c r="T52" s="430"/>
      <c r="U52" s="430"/>
      <c r="V52" s="430"/>
      <c r="W52" s="430"/>
      <c r="X52" s="430"/>
      <c r="Y52" s="430"/>
      <c r="Z52" s="430"/>
    </row>
    <row r="53">
      <c r="A53" s="221"/>
      <c r="D53" s="197"/>
      <c r="E53" s="197"/>
      <c r="I53" s="197"/>
      <c r="J53" s="197"/>
      <c r="K53" s="197"/>
      <c r="L53" s="197"/>
      <c r="M53" s="197"/>
      <c r="N53" s="197"/>
      <c r="O53" s="197" t="str">
        <f t="shared" si="2"/>
        <v/>
      </c>
    </row>
    <row r="54">
      <c r="A54" s="221"/>
      <c r="I54" s="197"/>
      <c r="J54" s="197"/>
      <c r="K54" s="197"/>
      <c r="L54" s="197"/>
      <c r="M54" s="197"/>
      <c r="N54" s="197"/>
      <c r="O54" s="197" t="str">
        <f t="shared" si="2"/>
        <v/>
      </c>
      <c r="S54" s="431" t="s">
        <v>194</v>
      </c>
      <c r="T54" s="431"/>
      <c r="U54" s="431"/>
      <c r="V54" s="431"/>
      <c r="W54" s="431"/>
      <c r="X54" s="431"/>
      <c r="Y54" s="431"/>
      <c r="Z54" s="431"/>
    </row>
    <row r="55">
      <c r="A55" s="221"/>
      <c r="F55" s="412"/>
      <c r="I55" s="197"/>
      <c r="J55" s="197"/>
      <c r="K55" s="197"/>
      <c r="L55" s="197"/>
      <c r="M55" s="197"/>
      <c r="N55" s="197"/>
    </row>
    <row r="56">
      <c r="I56" s="197"/>
      <c r="J56" s="197"/>
      <c r="K56" s="197"/>
      <c r="L56" s="197"/>
      <c r="M56" s="197"/>
      <c r="N56" s="197"/>
      <c r="O56" s="197" t="str">
        <f t="shared" ref="O56:O70" si="3">if(J56=R40,, vlookup(J56,$P$3:$Q$36,1,false))</f>
        <v/>
      </c>
      <c r="S56" s="432" t="s">
        <v>319</v>
      </c>
      <c r="T56" s="432"/>
      <c r="U56" s="432"/>
      <c r="V56" s="432"/>
      <c r="W56" s="432"/>
      <c r="X56" s="432"/>
      <c r="Y56" s="432"/>
      <c r="Z56" s="432"/>
    </row>
    <row r="57">
      <c r="I57" s="197"/>
      <c r="J57" s="197"/>
      <c r="K57" s="197"/>
      <c r="L57" s="197"/>
      <c r="M57" s="197"/>
      <c r="N57" s="197"/>
      <c r="O57" s="197" t="str">
        <f t="shared" si="3"/>
        <v/>
      </c>
    </row>
    <row r="58">
      <c r="I58" s="197"/>
      <c r="J58" s="197"/>
      <c r="K58" s="197"/>
      <c r="L58" s="197"/>
      <c r="M58" s="197"/>
      <c r="N58" s="197"/>
      <c r="O58" s="197" t="str">
        <f t="shared" si="3"/>
        <v/>
      </c>
    </row>
    <row r="59">
      <c r="I59" s="197"/>
      <c r="J59" s="197"/>
      <c r="K59" s="197"/>
      <c r="L59" s="197"/>
      <c r="M59" s="197"/>
      <c r="N59" s="197"/>
      <c r="O59" s="197" t="str">
        <f t="shared" si="3"/>
        <v/>
      </c>
    </row>
    <row r="60">
      <c r="I60" s="197"/>
      <c r="J60" s="197"/>
      <c r="K60" s="197"/>
      <c r="L60" s="197"/>
      <c r="M60" s="197"/>
      <c r="N60" s="197"/>
      <c r="O60" s="197" t="str">
        <f t="shared" si="3"/>
        <v/>
      </c>
    </row>
    <row r="61">
      <c r="I61" s="197"/>
      <c r="J61" s="197"/>
      <c r="K61" s="197"/>
      <c r="L61" s="197"/>
      <c r="M61" s="197"/>
      <c r="N61" s="197"/>
      <c r="O61" s="197" t="str">
        <f t="shared" si="3"/>
        <v/>
      </c>
    </row>
    <row r="62">
      <c r="I62" s="197"/>
      <c r="J62" s="197"/>
      <c r="K62" s="197"/>
      <c r="L62" s="197"/>
      <c r="M62" s="197"/>
      <c r="N62" s="197"/>
      <c r="O62" s="197" t="str">
        <f t="shared" si="3"/>
        <v/>
      </c>
      <c r="S62" s="433" t="s">
        <v>320</v>
      </c>
    </row>
    <row r="63">
      <c r="I63" s="197"/>
      <c r="J63" s="197"/>
      <c r="K63" s="197"/>
      <c r="L63" s="197"/>
      <c r="M63" s="197"/>
      <c r="N63" s="197"/>
      <c r="O63" s="197" t="str">
        <f t="shared" si="3"/>
        <v/>
      </c>
    </row>
    <row r="64">
      <c r="I64" s="197"/>
      <c r="J64" s="197"/>
      <c r="K64" s="197"/>
      <c r="L64" s="197"/>
      <c r="M64" s="197"/>
      <c r="N64" s="197"/>
      <c r="O64" s="197" t="str">
        <f t="shared" si="3"/>
        <v/>
      </c>
    </row>
    <row r="65">
      <c r="I65" s="197"/>
      <c r="J65" s="197"/>
      <c r="K65" s="197"/>
      <c r="L65" s="197"/>
      <c r="M65" s="197"/>
      <c r="N65" s="197"/>
      <c r="O65" s="197" t="str">
        <f t="shared" si="3"/>
        <v/>
      </c>
    </row>
    <row r="66">
      <c r="I66" s="197"/>
      <c r="J66" s="197"/>
      <c r="K66" s="197"/>
      <c r="L66" s="197"/>
      <c r="M66" s="197"/>
      <c r="N66" s="197"/>
      <c r="O66" s="197" t="str">
        <f t="shared" si="3"/>
        <v/>
      </c>
    </row>
    <row r="67">
      <c r="I67" s="197"/>
      <c r="J67" s="197"/>
      <c r="K67" s="197"/>
      <c r="L67" s="197"/>
      <c r="M67" s="197"/>
      <c r="N67" s="197"/>
      <c r="O67" s="197" t="str">
        <f t="shared" si="3"/>
        <v/>
      </c>
    </row>
    <row r="68">
      <c r="I68" s="197"/>
      <c r="J68" s="197"/>
      <c r="K68" s="197"/>
      <c r="L68" s="197"/>
      <c r="M68" s="197"/>
      <c r="N68" s="197"/>
      <c r="O68" s="197" t="str">
        <f t="shared" si="3"/>
        <v/>
      </c>
    </row>
    <row r="69">
      <c r="I69" s="197"/>
      <c r="J69" s="197"/>
      <c r="K69" s="197"/>
      <c r="L69" s="197"/>
      <c r="M69" s="197"/>
      <c r="N69" s="197"/>
      <c r="O69" s="197" t="str">
        <f t="shared" si="3"/>
        <v/>
      </c>
    </row>
    <row r="70">
      <c r="I70" s="197"/>
      <c r="J70" s="197"/>
      <c r="K70" s="197"/>
      <c r="L70" s="197"/>
      <c r="M70" s="197"/>
      <c r="N70" s="197"/>
      <c r="O70" s="197" t="str">
        <f t="shared" si="3"/>
        <v/>
      </c>
    </row>
    <row r="71">
      <c r="I71" s="197"/>
      <c r="J71" s="197"/>
      <c r="K71" s="197"/>
      <c r="L71" s="197"/>
      <c r="M71" s="197"/>
      <c r="N71" s="197"/>
      <c r="O71" s="197" t="str">
        <f t="shared" ref="O71:O154" si="4">if(J71=R56,, vlookup(J71,$P$3:$Q$36,1,false))</f>
        <v/>
      </c>
    </row>
    <row r="72">
      <c r="I72" s="434"/>
      <c r="J72" s="197"/>
      <c r="K72" s="197"/>
      <c r="L72" s="197"/>
      <c r="M72" s="197"/>
      <c r="N72" s="197"/>
      <c r="O72" s="197" t="str">
        <f t="shared" si="4"/>
        <v/>
      </c>
    </row>
    <row r="73">
      <c r="I73" s="434"/>
      <c r="J73" s="197"/>
      <c r="K73" s="197"/>
      <c r="L73" s="197"/>
      <c r="M73" s="197"/>
      <c r="N73" s="197"/>
      <c r="O73" s="197" t="str">
        <f t="shared" si="4"/>
        <v/>
      </c>
    </row>
    <row r="74">
      <c r="I74" s="434"/>
      <c r="J74" s="197"/>
      <c r="K74" s="197"/>
      <c r="L74" s="197"/>
      <c r="M74" s="197"/>
      <c r="N74" s="197"/>
      <c r="O74" s="197" t="str">
        <f t="shared" si="4"/>
        <v/>
      </c>
    </row>
    <row r="75">
      <c r="I75" s="434"/>
      <c r="J75" s="197"/>
      <c r="K75" s="197"/>
      <c r="L75" s="197"/>
      <c r="M75" s="197"/>
      <c r="N75" s="197"/>
      <c r="O75" s="197" t="str">
        <f t="shared" si="4"/>
        <v/>
      </c>
    </row>
    <row r="76">
      <c r="I76" s="434"/>
      <c r="J76" s="197"/>
      <c r="K76" s="197"/>
      <c r="L76" s="197"/>
      <c r="M76" s="197"/>
      <c r="N76" s="197"/>
      <c r="O76" s="197" t="str">
        <f t="shared" si="4"/>
        <v/>
      </c>
    </row>
    <row r="77">
      <c r="I77" s="434"/>
      <c r="J77" s="197"/>
      <c r="K77" s="197"/>
      <c r="L77" s="197"/>
      <c r="M77" s="197"/>
      <c r="N77" s="197"/>
      <c r="O77" s="197" t="str">
        <f t="shared" si="4"/>
        <v/>
      </c>
    </row>
    <row r="78">
      <c r="I78" s="434"/>
      <c r="J78" s="197"/>
      <c r="K78" s="197"/>
      <c r="L78" s="197"/>
      <c r="M78" s="197"/>
      <c r="N78" s="197"/>
      <c r="O78" s="197" t="str">
        <f t="shared" si="4"/>
        <v/>
      </c>
    </row>
    <row r="79">
      <c r="I79" s="434"/>
      <c r="J79" s="197"/>
      <c r="K79" s="197"/>
      <c r="L79" s="197"/>
      <c r="M79" s="197"/>
      <c r="N79" s="197"/>
      <c r="O79" s="197" t="str">
        <f t="shared" si="4"/>
        <v/>
      </c>
    </row>
    <row r="80">
      <c r="I80" s="434"/>
      <c r="J80" s="197"/>
      <c r="K80" s="197"/>
      <c r="L80" s="197"/>
      <c r="M80" s="197"/>
      <c r="N80" s="197"/>
      <c r="O80" s="197" t="str">
        <f t="shared" si="4"/>
        <v/>
      </c>
    </row>
    <row r="81">
      <c r="I81" s="434"/>
      <c r="J81" s="197"/>
      <c r="K81" s="197"/>
      <c r="L81" s="197"/>
      <c r="M81" s="197"/>
      <c r="N81" s="197"/>
      <c r="O81" s="197" t="str">
        <f t="shared" si="4"/>
        <v/>
      </c>
    </row>
    <row r="82">
      <c r="I82" s="434"/>
      <c r="J82" s="197"/>
      <c r="K82" s="197"/>
      <c r="L82" s="197"/>
      <c r="M82" s="197"/>
      <c r="N82" s="197"/>
      <c r="O82" s="197" t="str">
        <f t="shared" si="4"/>
        <v/>
      </c>
    </row>
    <row r="83">
      <c r="I83" s="434"/>
      <c r="J83" s="197"/>
      <c r="K83" s="197"/>
      <c r="L83" s="197"/>
      <c r="M83" s="197"/>
      <c r="N83" s="197"/>
      <c r="O83" s="197" t="str">
        <f t="shared" si="4"/>
        <v/>
      </c>
    </row>
    <row r="84">
      <c r="I84" s="434"/>
      <c r="J84" s="197"/>
      <c r="K84" s="197"/>
      <c r="L84" s="197"/>
      <c r="M84" s="197"/>
      <c r="N84" s="197"/>
      <c r="O84" s="197" t="str">
        <f t="shared" si="4"/>
        <v/>
      </c>
    </row>
    <row r="85">
      <c r="I85" s="434"/>
      <c r="J85" s="197"/>
      <c r="K85" s="197"/>
      <c r="L85" s="197"/>
      <c r="M85" s="197"/>
      <c r="N85" s="197"/>
      <c r="O85" s="197" t="str">
        <f t="shared" si="4"/>
        <v/>
      </c>
    </row>
    <row r="86">
      <c r="I86" s="434"/>
      <c r="J86" s="197"/>
      <c r="K86" s="197"/>
      <c r="L86" s="197"/>
      <c r="M86" s="197"/>
      <c r="N86" s="197"/>
      <c r="O86" s="197" t="str">
        <f t="shared" si="4"/>
        <v/>
      </c>
    </row>
    <row r="87">
      <c r="I87" s="434"/>
      <c r="J87" s="197"/>
      <c r="K87" s="197"/>
      <c r="L87" s="197"/>
      <c r="M87" s="197"/>
      <c r="N87" s="197"/>
      <c r="O87" s="197" t="str">
        <f t="shared" si="4"/>
        <v/>
      </c>
    </row>
    <row r="88">
      <c r="I88" s="434"/>
      <c r="J88" s="197"/>
      <c r="K88" s="197"/>
      <c r="L88" s="197"/>
      <c r="M88" s="197"/>
      <c r="N88" s="197"/>
      <c r="O88" s="197" t="str">
        <f t="shared" si="4"/>
        <v/>
      </c>
    </row>
    <row r="89">
      <c r="I89" s="434"/>
      <c r="J89" s="197"/>
      <c r="K89" s="197"/>
      <c r="L89" s="197"/>
      <c r="M89" s="197"/>
      <c r="N89" s="197"/>
      <c r="O89" s="197" t="str">
        <f t="shared" si="4"/>
        <v/>
      </c>
    </row>
    <row r="90">
      <c r="I90" s="434"/>
      <c r="J90" s="197"/>
      <c r="K90" s="197"/>
      <c r="L90" s="197"/>
      <c r="M90" s="197"/>
      <c r="N90" s="435"/>
      <c r="O90" s="197" t="str">
        <f t="shared" si="4"/>
        <v/>
      </c>
    </row>
    <row r="91">
      <c r="I91" s="197"/>
      <c r="J91" s="197"/>
      <c r="K91" s="197"/>
      <c r="L91" s="197"/>
      <c r="M91" s="197"/>
      <c r="N91" s="197"/>
      <c r="O91" s="197" t="str">
        <f t="shared" si="4"/>
        <v/>
      </c>
    </row>
    <row r="92">
      <c r="I92" s="197"/>
      <c r="J92" s="197"/>
      <c r="K92" s="197"/>
      <c r="L92" s="197"/>
      <c r="M92" s="197"/>
      <c r="N92" s="197"/>
      <c r="O92" s="197" t="str">
        <f t="shared" si="4"/>
        <v/>
      </c>
    </row>
    <row r="93">
      <c r="I93" s="197"/>
      <c r="J93" s="197"/>
      <c r="K93" s="197"/>
      <c r="L93" s="197"/>
      <c r="M93" s="197"/>
      <c r="N93" s="197"/>
      <c r="O93" s="197" t="str">
        <f t="shared" si="4"/>
        <v/>
      </c>
    </row>
    <row r="94">
      <c r="I94" s="197"/>
      <c r="J94" s="197"/>
      <c r="K94" s="197"/>
      <c r="L94" s="197"/>
      <c r="M94" s="197"/>
      <c r="N94" s="197"/>
      <c r="O94" s="197" t="str">
        <f t="shared" si="4"/>
        <v/>
      </c>
    </row>
    <row r="95">
      <c r="I95" s="197"/>
      <c r="J95" s="197"/>
      <c r="K95" s="197"/>
      <c r="L95" s="197"/>
      <c r="M95" s="197"/>
      <c r="N95" s="197"/>
      <c r="O95" s="197" t="str">
        <f t="shared" si="4"/>
        <v/>
      </c>
    </row>
    <row r="96">
      <c r="I96" s="197"/>
      <c r="J96" s="197"/>
      <c r="K96" s="197"/>
      <c r="L96" s="197"/>
      <c r="M96" s="197"/>
      <c r="N96" s="197"/>
      <c r="O96" s="197" t="str">
        <f t="shared" si="4"/>
        <v/>
      </c>
    </row>
    <row r="97">
      <c r="I97" s="197"/>
      <c r="J97" s="197"/>
      <c r="K97" s="197"/>
      <c r="L97" s="197"/>
      <c r="M97" s="197"/>
      <c r="N97" s="197"/>
      <c r="O97" s="197" t="str">
        <f t="shared" si="4"/>
        <v/>
      </c>
    </row>
    <row r="98">
      <c r="I98" s="197"/>
      <c r="J98" s="197"/>
      <c r="K98" s="197"/>
      <c r="L98" s="197"/>
      <c r="M98" s="197"/>
      <c r="N98" s="197"/>
      <c r="O98" s="197" t="str">
        <f t="shared" si="4"/>
        <v/>
      </c>
    </row>
    <row r="99">
      <c r="I99" s="197"/>
      <c r="J99" s="197"/>
      <c r="K99" s="197"/>
      <c r="L99" s="197"/>
      <c r="M99" s="197"/>
      <c r="N99" s="197"/>
      <c r="O99" s="197" t="str">
        <f t="shared" si="4"/>
        <v/>
      </c>
    </row>
    <row r="100">
      <c r="I100" s="197"/>
      <c r="J100" s="197"/>
      <c r="K100" s="197"/>
      <c r="L100" s="197"/>
      <c r="M100" s="197"/>
      <c r="N100" s="197"/>
      <c r="O100" s="197" t="str">
        <f t="shared" si="4"/>
        <v/>
      </c>
    </row>
    <row r="101">
      <c r="I101" s="197"/>
      <c r="J101" s="197"/>
      <c r="K101" s="197"/>
      <c r="L101" s="197"/>
      <c r="M101" s="197"/>
      <c r="N101" s="197"/>
      <c r="O101" s="197" t="str">
        <f t="shared" si="4"/>
        <v/>
      </c>
    </row>
    <row r="102">
      <c r="I102" s="197"/>
      <c r="J102" s="197"/>
      <c r="K102" s="197"/>
      <c r="L102" s="197"/>
      <c r="M102" s="197"/>
      <c r="N102" s="197"/>
      <c r="O102" s="197" t="str">
        <f t="shared" si="4"/>
        <v/>
      </c>
    </row>
    <row r="103">
      <c r="I103" s="197"/>
      <c r="J103" s="197"/>
      <c r="K103" s="197"/>
      <c r="L103" s="197"/>
      <c r="M103" s="197"/>
      <c r="N103" s="197"/>
      <c r="O103" s="197" t="str">
        <f t="shared" si="4"/>
        <v/>
      </c>
    </row>
    <row r="104">
      <c r="I104" s="197"/>
      <c r="J104" s="197"/>
      <c r="K104" s="197"/>
      <c r="L104" s="197"/>
      <c r="M104" s="197"/>
      <c r="N104" s="197"/>
      <c r="O104" s="197" t="str">
        <f t="shared" si="4"/>
        <v/>
      </c>
    </row>
    <row r="105">
      <c r="I105" s="197"/>
      <c r="J105" s="197"/>
      <c r="K105" s="197"/>
      <c r="L105" s="197"/>
      <c r="M105" s="197"/>
      <c r="N105" s="197"/>
      <c r="O105" s="197" t="str">
        <f t="shared" si="4"/>
        <v/>
      </c>
    </row>
    <row r="106">
      <c r="I106" s="197"/>
      <c r="J106" s="197"/>
      <c r="K106" s="197"/>
      <c r="L106" s="197"/>
      <c r="M106" s="197"/>
      <c r="N106" s="197"/>
      <c r="O106" s="197" t="str">
        <f t="shared" si="4"/>
        <v/>
      </c>
    </row>
    <row r="107">
      <c r="I107" s="197"/>
      <c r="J107" s="197"/>
      <c r="K107" s="197"/>
      <c r="L107" s="197"/>
      <c r="M107" s="197"/>
      <c r="N107" s="197"/>
      <c r="O107" s="197" t="str">
        <f t="shared" si="4"/>
        <v/>
      </c>
    </row>
    <row r="108">
      <c r="I108" s="197"/>
      <c r="J108" s="197"/>
      <c r="K108" s="197"/>
      <c r="L108" s="197"/>
      <c r="M108" s="197"/>
      <c r="N108" s="197"/>
      <c r="O108" s="197" t="str">
        <f t="shared" si="4"/>
        <v/>
      </c>
    </row>
    <row r="109">
      <c r="I109" s="197"/>
      <c r="J109" s="197"/>
      <c r="K109" s="197"/>
      <c r="L109" s="197"/>
      <c r="M109" s="197"/>
      <c r="N109" s="197"/>
      <c r="O109" s="197" t="str">
        <f t="shared" si="4"/>
        <v/>
      </c>
    </row>
    <row r="110">
      <c r="I110" s="197"/>
      <c r="J110" s="197"/>
      <c r="K110" s="197"/>
      <c r="L110" s="197"/>
      <c r="M110" s="197"/>
      <c r="N110" s="197"/>
      <c r="O110" s="197" t="str">
        <f t="shared" si="4"/>
        <v/>
      </c>
    </row>
    <row r="111">
      <c r="I111" s="197"/>
      <c r="J111" s="197"/>
      <c r="K111" s="197"/>
      <c r="L111" s="197"/>
      <c r="M111" s="197"/>
      <c r="N111" s="197"/>
      <c r="O111" s="197" t="str">
        <f t="shared" si="4"/>
        <v/>
      </c>
    </row>
    <row r="112">
      <c r="I112" s="197"/>
      <c r="J112" s="197"/>
      <c r="K112" s="197"/>
      <c r="L112" s="197"/>
      <c r="M112" s="197"/>
      <c r="N112" s="197"/>
      <c r="O112" s="197" t="str">
        <f t="shared" si="4"/>
        <v/>
      </c>
    </row>
    <row r="113">
      <c r="I113" s="197"/>
      <c r="J113" s="197"/>
      <c r="K113" s="197"/>
      <c r="L113" s="197"/>
      <c r="M113" s="197"/>
      <c r="N113" s="197"/>
      <c r="O113" s="197" t="str">
        <f t="shared" si="4"/>
        <v/>
      </c>
    </row>
    <row r="114">
      <c r="I114" s="197"/>
      <c r="J114" s="197"/>
      <c r="K114" s="197"/>
      <c r="L114" s="197"/>
      <c r="M114" s="197"/>
      <c r="N114" s="197"/>
      <c r="O114" s="197" t="str">
        <f t="shared" si="4"/>
        <v/>
      </c>
    </row>
    <row r="115">
      <c r="I115" s="197"/>
      <c r="J115" s="197"/>
      <c r="K115" s="197"/>
      <c r="L115" s="197"/>
      <c r="M115" s="197"/>
      <c r="N115" s="197"/>
      <c r="O115" s="197" t="str">
        <f t="shared" si="4"/>
        <v/>
      </c>
    </row>
    <row r="116">
      <c r="I116" s="197"/>
      <c r="J116" s="197"/>
      <c r="K116" s="197"/>
      <c r="L116" s="197"/>
      <c r="M116" s="197"/>
      <c r="N116" s="197"/>
      <c r="O116" s="197" t="str">
        <f t="shared" si="4"/>
        <v/>
      </c>
    </row>
    <row r="117">
      <c r="I117" s="197"/>
      <c r="J117" s="197"/>
      <c r="K117" s="197"/>
      <c r="L117" s="197"/>
      <c r="M117" s="197"/>
      <c r="N117" s="197"/>
      <c r="O117" s="197" t="str">
        <f t="shared" si="4"/>
        <v/>
      </c>
    </row>
    <row r="118">
      <c r="I118" s="197"/>
      <c r="J118" s="197"/>
      <c r="K118" s="197"/>
      <c r="L118" s="197"/>
      <c r="M118" s="197"/>
      <c r="N118" s="197"/>
      <c r="O118" s="197" t="str">
        <f t="shared" si="4"/>
        <v/>
      </c>
    </row>
    <row r="119">
      <c r="I119" s="197"/>
      <c r="J119" s="197"/>
      <c r="K119" s="197"/>
      <c r="L119" s="197"/>
      <c r="M119" s="197"/>
      <c r="N119" s="197"/>
      <c r="O119" s="197" t="str">
        <f t="shared" si="4"/>
        <v/>
      </c>
    </row>
    <row r="120">
      <c r="I120" s="197"/>
      <c r="J120" s="197"/>
      <c r="K120" s="197"/>
      <c r="L120" s="197"/>
      <c r="M120" s="197"/>
      <c r="N120" s="197"/>
      <c r="O120" s="197" t="str">
        <f t="shared" si="4"/>
        <v/>
      </c>
    </row>
    <row r="121">
      <c r="I121" s="197"/>
      <c r="J121" s="197"/>
      <c r="K121" s="197"/>
      <c r="L121" s="197"/>
      <c r="M121" s="197"/>
      <c r="N121" s="197"/>
      <c r="O121" s="197" t="str">
        <f t="shared" si="4"/>
        <v/>
      </c>
    </row>
    <row r="122">
      <c r="I122" s="197"/>
      <c r="J122" s="197"/>
      <c r="K122" s="197"/>
      <c r="L122" s="197"/>
      <c r="M122" s="197"/>
      <c r="N122" s="197"/>
      <c r="O122" s="197" t="str">
        <f t="shared" si="4"/>
        <v/>
      </c>
    </row>
    <row r="123">
      <c r="I123" s="197"/>
      <c r="J123" s="197"/>
      <c r="K123" s="197"/>
      <c r="L123" s="197"/>
      <c r="M123" s="197"/>
      <c r="N123" s="197"/>
      <c r="O123" s="197" t="str">
        <f t="shared" si="4"/>
        <v/>
      </c>
    </row>
    <row r="124">
      <c r="I124" s="197"/>
      <c r="J124" s="197"/>
      <c r="K124" s="197"/>
      <c r="L124" s="197"/>
      <c r="M124" s="197"/>
      <c r="N124" s="197"/>
      <c r="O124" s="197" t="str">
        <f t="shared" si="4"/>
        <v/>
      </c>
    </row>
    <row r="125">
      <c r="I125" s="197"/>
      <c r="J125" s="197"/>
      <c r="K125" s="197"/>
      <c r="L125" s="197"/>
      <c r="M125" s="197"/>
      <c r="N125" s="197"/>
      <c r="O125" s="197" t="str">
        <f t="shared" si="4"/>
        <v/>
      </c>
    </row>
    <row r="126">
      <c r="I126" s="197"/>
      <c r="J126" s="197"/>
      <c r="K126" s="197"/>
      <c r="L126" s="197"/>
      <c r="M126" s="197"/>
      <c r="N126" s="197"/>
      <c r="O126" s="197" t="str">
        <f t="shared" si="4"/>
        <v/>
      </c>
    </row>
    <row r="127">
      <c r="I127" s="197"/>
      <c r="J127" s="197"/>
      <c r="K127" s="197"/>
      <c r="L127" s="197"/>
      <c r="M127" s="197"/>
      <c r="N127" s="197"/>
      <c r="O127" s="197" t="str">
        <f t="shared" si="4"/>
        <v/>
      </c>
    </row>
    <row r="128">
      <c r="I128" s="197"/>
      <c r="J128" s="197"/>
      <c r="K128" s="197"/>
      <c r="L128" s="197"/>
      <c r="M128" s="197"/>
      <c r="N128" s="197"/>
      <c r="O128" s="197" t="str">
        <f t="shared" si="4"/>
        <v/>
      </c>
    </row>
    <row r="129">
      <c r="I129" s="197"/>
      <c r="J129" s="197"/>
      <c r="K129" s="197"/>
      <c r="L129" s="197"/>
      <c r="M129" s="197"/>
      <c r="N129" s="197"/>
      <c r="O129" s="197" t="str">
        <f t="shared" si="4"/>
        <v/>
      </c>
    </row>
    <row r="130">
      <c r="I130" s="197"/>
      <c r="J130" s="197"/>
      <c r="K130" s="197"/>
      <c r="L130" s="197"/>
      <c r="M130" s="197"/>
      <c r="N130" s="197"/>
      <c r="O130" s="197" t="str">
        <f t="shared" si="4"/>
        <v/>
      </c>
    </row>
    <row r="131">
      <c r="I131" s="197"/>
      <c r="J131" s="197"/>
      <c r="K131" s="197"/>
      <c r="L131" s="197"/>
      <c r="M131" s="197"/>
      <c r="N131" s="197"/>
      <c r="O131" s="197" t="str">
        <f t="shared" si="4"/>
        <v/>
      </c>
    </row>
    <row r="132">
      <c r="I132" s="197"/>
      <c r="J132" s="197"/>
      <c r="K132" s="197"/>
      <c r="L132" s="197"/>
      <c r="M132" s="197"/>
      <c r="N132" s="197"/>
      <c r="O132" s="197" t="str">
        <f t="shared" si="4"/>
        <v/>
      </c>
    </row>
    <row r="133">
      <c r="I133" s="197"/>
      <c r="J133" s="197"/>
      <c r="K133" s="197"/>
      <c r="L133" s="197"/>
      <c r="M133" s="197"/>
      <c r="N133" s="197"/>
      <c r="O133" s="197" t="str">
        <f t="shared" si="4"/>
        <v/>
      </c>
    </row>
    <row r="134">
      <c r="I134" s="197"/>
      <c r="J134" s="197"/>
      <c r="K134" s="197"/>
      <c r="L134" s="197"/>
      <c r="M134" s="197"/>
      <c r="N134" s="197"/>
      <c r="O134" s="197" t="str">
        <f t="shared" si="4"/>
        <v/>
      </c>
    </row>
    <row r="135">
      <c r="I135" s="197"/>
      <c r="J135" s="197"/>
      <c r="K135" s="197"/>
      <c r="L135" s="197"/>
      <c r="M135" s="197"/>
      <c r="N135" s="197"/>
      <c r="O135" s="197" t="str">
        <f t="shared" si="4"/>
        <v/>
      </c>
    </row>
    <row r="136">
      <c r="I136" s="197"/>
      <c r="J136" s="197"/>
      <c r="K136" s="197"/>
      <c r="L136" s="197"/>
      <c r="M136" s="197"/>
      <c r="N136" s="197"/>
      <c r="O136" s="197" t="str">
        <f t="shared" si="4"/>
        <v/>
      </c>
    </row>
    <row r="137">
      <c r="I137" s="197"/>
      <c r="J137" s="197"/>
      <c r="K137" s="197"/>
      <c r="L137" s="197"/>
      <c r="M137" s="197"/>
      <c r="N137" s="197"/>
      <c r="O137" s="197" t="str">
        <f t="shared" si="4"/>
        <v/>
      </c>
    </row>
    <row r="138">
      <c r="I138" s="197"/>
      <c r="J138" s="197"/>
      <c r="K138" s="197"/>
      <c r="L138" s="197"/>
      <c r="M138" s="197"/>
      <c r="N138" s="197"/>
      <c r="O138" s="197" t="str">
        <f t="shared" si="4"/>
        <v/>
      </c>
    </row>
    <row r="139">
      <c r="I139" s="197"/>
      <c r="J139" s="197"/>
      <c r="K139" s="197"/>
      <c r="L139" s="197"/>
      <c r="M139" s="197"/>
      <c r="N139" s="197"/>
      <c r="O139" s="197" t="str">
        <f t="shared" si="4"/>
        <v/>
      </c>
    </row>
    <row r="140">
      <c r="I140" s="197"/>
      <c r="J140" s="197"/>
      <c r="K140" s="197"/>
      <c r="L140" s="197"/>
      <c r="M140" s="197"/>
      <c r="N140" s="197"/>
      <c r="O140" s="197" t="str">
        <f t="shared" si="4"/>
        <v/>
      </c>
    </row>
    <row r="141">
      <c r="I141" s="197"/>
      <c r="J141" s="197"/>
      <c r="K141" s="197"/>
      <c r="L141" s="197"/>
      <c r="M141" s="197"/>
      <c r="N141" s="197"/>
      <c r="O141" s="197" t="str">
        <f t="shared" si="4"/>
        <v/>
      </c>
    </row>
    <row r="142">
      <c r="I142" s="197"/>
      <c r="J142" s="197"/>
      <c r="K142" s="197"/>
      <c r="L142" s="197"/>
      <c r="M142" s="197"/>
      <c r="N142" s="197"/>
      <c r="O142" s="197" t="str">
        <f t="shared" si="4"/>
        <v/>
      </c>
    </row>
    <row r="143">
      <c r="I143" s="197"/>
      <c r="J143" s="197"/>
      <c r="K143" s="197"/>
      <c r="L143" s="197"/>
      <c r="M143" s="197"/>
      <c r="N143" s="197"/>
      <c r="O143" s="197" t="str">
        <f t="shared" si="4"/>
        <v/>
      </c>
    </row>
    <row r="144">
      <c r="I144" s="197"/>
      <c r="J144" s="197"/>
      <c r="K144" s="197"/>
      <c r="L144" s="197"/>
      <c r="M144" s="197"/>
      <c r="N144" s="197"/>
      <c r="O144" s="197" t="str">
        <f t="shared" si="4"/>
        <v/>
      </c>
    </row>
    <row r="145">
      <c r="I145" s="197"/>
      <c r="J145" s="197"/>
      <c r="K145" s="197"/>
      <c r="L145" s="197"/>
      <c r="M145" s="197"/>
      <c r="N145" s="197"/>
      <c r="O145" s="197" t="str">
        <f t="shared" si="4"/>
        <v/>
      </c>
    </row>
    <row r="146">
      <c r="I146" s="197"/>
      <c r="J146" s="197"/>
      <c r="K146" s="197"/>
      <c r="L146" s="197"/>
      <c r="M146" s="197"/>
      <c r="N146" s="197"/>
      <c r="O146" s="197" t="str">
        <f t="shared" si="4"/>
        <v/>
      </c>
    </row>
    <row r="147">
      <c r="I147" s="197"/>
      <c r="J147" s="197"/>
      <c r="K147" s="197"/>
      <c r="L147" s="197"/>
      <c r="M147" s="197"/>
      <c r="N147" s="197"/>
      <c r="O147" s="197" t="str">
        <f t="shared" si="4"/>
        <v/>
      </c>
    </row>
    <row r="148">
      <c r="I148" s="197"/>
      <c r="J148" s="197"/>
      <c r="K148" s="197"/>
      <c r="L148" s="197"/>
      <c r="M148" s="197"/>
      <c r="N148" s="197"/>
      <c r="O148" s="197" t="str">
        <f t="shared" si="4"/>
        <v/>
      </c>
    </row>
    <row r="149">
      <c r="I149" s="197"/>
      <c r="J149" s="197"/>
      <c r="K149" s="197"/>
      <c r="L149" s="197"/>
      <c r="M149" s="197"/>
      <c r="N149" s="197"/>
      <c r="O149" s="197" t="str">
        <f t="shared" si="4"/>
        <v/>
      </c>
    </row>
    <row r="150">
      <c r="I150" s="197"/>
      <c r="J150" s="197"/>
      <c r="K150" s="197"/>
      <c r="L150" s="197"/>
      <c r="M150" s="197"/>
      <c r="N150" s="197"/>
      <c r="O150" s="197" t="str">
        <f t="shared" si="4"/>
        <v/>
      </c>
    </row>
    <row r="151">
      <c r="I151" s="197"/>
      <c r="J151" s="197"/>
      <c r="K151" s="197"/>
      <c r="L151" s="197"/>
      <c r="M151" s="197"/>
      <c r="N151" s="197"/>
      <c r="O151" s="197" t="str">
        <f t="shared" si="4"/>
        <v/>
      </c>
    </row>
    <row r="152">
      <c r="I152" s="197"/>
      <c r="J152" s="197"/>
      <c r="K152" s="197"/>
      <c r="L152" s="197"/>
      <c r="M152" s="197"/>
      <c r="N152" s="197"/>
      <c r="O152" s="197" t="str">
        <f t="shared" si="4"/>
        <v/>
      </c>
    </row>
    <row r="153">
      <c r="I153" s="197"/>
      <c r="J153" s="197"/>
      <c r="K153" s="197"/>
      <c r="L153" s="197"/>
      <c r="M153" s="197"/>
      <c r="N153" s="197"/>
      <c r="O153" s="197" t="str">
        <f t="shared" si="4"/>
        <v/>
      </c>
    </row>
    <row r="154">
      <c r="I154" s="197"/>
      <c r="J154" s="197"/>
      <c r="K154" s="197"/>
      <c r="L154" s="197"/>
      <c r="M154" s="197"/>
      <c r="N154" s="197"/>
      <c r="O154" s="197" t="str">
        <f t="shared" si="4"/>
        <v/>
      </c>
    </row>
    <row r="155">
      <c r="I155" s="197"/>
      <c r="J155" s="197"/>
      <c r="K155" s="197"/>
      <c r="L155" s="197"/>
      <c r="M155" s="197"/>
      <c r="N155" s="197"/>
    </row>
  </sheetData>
  <mergeCells count="2">
    <mergeCell ref="I35:O35"/>
    <mergeCell ref="S62:Z64"/>
  </mergeCells>
  <hyperlinks>
    <hyperlink display="Hieu.600" location="StaffInformation!H423" ref="P2"/>
    <hyperlink display="Dat.600" location="StaffInformation!G303" ref="P3"/>
    <hyperlink display="Trang.600" location="StaffInformation!H3" ref="P4"/>
    <hyperlink display="Quynh.600" location="StaffInformation!H244" ref="P5"/>
    <hyperlink display="Lam.600" location="StaffInformation!G183" ref="P6"/>
    <hyperlink display="Huyen.600" location="StaffInformation!H453" ref="P7"/>
    <hyperlink display="Quan.600" location="StaffInformation!H153" ref="P8"/>
    <hyperlink display="Giang.500" location="StaffInformation!H273" ref="P9"/>
    <hyperlink display="Lan Huong.600" location="StaffInformation!H423" ref="P10"/>
    <hyperlink display="Kien.TYM" location="StaffInformation!G333" ref="P11"/>
    <hyperlink display="Quyet.600" location="StaffInformation!G393" ref="P12"/>
    <hyperlink display="Thuyet.Site" location="StaffInformation!G484" ref="P13"/>
    <hyperlink display="Nam.600" location="StaffInformation!H213" ref="P14"/>
    <hyperlink display="Tien.200" location="StaffInformation!H1025" ref="P16"/>
    <hyperlink display="Luat.000" location="StaffInformation!G785" ref="P17"/>
    <hyperlink display="Duy Anh.200" location="StaffInformation!G995" ref="P18"/>
    <hyperlink display="Trang.300" location="StaffInformation!H965" ref="P19"/>
    <hyperlink display="Sim.300" location="StaffInformation!G875" ref="P20"/>
    <hyperlink display="Thuy.300" location="StaffInformation!G905" ref="P21"/>
    <hyperlink display="Hong.300" location="StaffInformation!G635" ref="P22"/>
    <hyperlink display="Tam.500" location="StaffInformation!G93" ref="P23"/>
    <hyperlink display="Thao.500" location="StaffInformation!G665" ref="P24"/>
    <hyperlink display="Quyen.500" location="StaffInformation!G123" ref="P25"/>
    <hyperlink display="Hieu.100" location="StaffInformation!G935" ref="P26"/>
  </hyperlink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25.63"/>
    <col customWidth="1" min="4" max="4" width="14.0"/>
    <col customWidth="1" min="5" max="5" width="15.75"/>
    <col customWidth="1" min="9" max="9" width="23.0"/>
    <col customWidth="1" min="12" max="12" width="16.63"/>
    <col customWidth="1" min="14" max="14" width="20.63"/>
  </cols>
  <sheetData>
    <row r="1">
      <c r="I1" s="436" t="s">
        <v>307</v>
      </c>
      <c r="J1" s="436" t="s">
        <v>321</v>
      </c>
    </row>
    <row r="2">
      <c r="I2" s="436" t="s">
        <v>307</v>
      </c>
      <c r="J2" s="436" t="s">
        <v>321</v>
      </c>
    </row>
    <row r="3">
      <c r="D3" s="437"/>
      <c r="I3" s="436" t="s">
        <v>322</v>
      </c>
      <c r="J3" s="436">
        <v>5.0</v>
      </c>
      <c r="M3" s="438" t="s">
        <v>4</v>
      </c>
      <c r="N3" s="439" t="str">
        <f>vlookup(M3,Summary!$E:$G,3,false)</f>
        <v>dattt@planadd.com</v>
      </c>
      <c r="O3" s="440">
        <f t="shared" ref="O3:O27" si="1">if(N3=$G$40,,sumif($B:$B,N3,$F:$F)-sumif($D:$E,M3,$E:$E)+sumif($B:$E,N3,$E:$E))</f>
        <v>0</v>
      </c>
    </row>
    <row r="4">
      <c r="D4" s="437"/>
      <c r="I4" s="436" t="s">
        <v>323</v>
      </c>
      <c r="J4" s="436">
        <v>5.0</v>
      </c>
      <c r="M4" s="438" t="s">
        <v>5</v>
      </c>
      <c r="N4" s="439" t="str">
        <f>vlookup(M4,Summary!$E:$G,3,false)</f>
        <v>ntttrang@planadd.com</v>
      </c>
      <c r="O4" s="440">
        <f t="shared" si="1"/>
        <v>0</v>
      </c>
    </row>
    <row r="5">
      <c r="D5" s="437"/>
      <c r="I5" s="436" t="s">
        <v>324</v>
      </c>
      <c r="J5" s="436">
        <v>10.0</v>
      </c>
      <c r="M5" s="438" t="s">
        <v>6</v>
      </c>
      <c r="N5" s="439" t="str">
        <f>vlookup(M5,Summary!$E:$G,3,false)</f>
        <v>nbduong@planadd.com</v>
      </c>
      <c r="O5" s="440">
        <f t="shared" si="1"/>
        <v>0</v>
      </c>
    </row>
    <row r="6">
      <c r="D6" s="437"/>
      <c r="I6" s="436" t="s">
        <v>325</v>
      </c>
      <c r="J6" s="436">
        <v>15.0</v>
      </c>
      <c r="M6" s="438" t="s">
        <v>7</v>
      </c>
      <c r="N6" s="439" t="str">
        <f>vlookup(M6,Summary!$E:$G,3,false)</f>
        <v>quynhln@planadd.com</v>
      </c>
      <c r="O6" s="440">
        <f t="shared" si="1"/>
        <v>0</v>
      </c>
    </row>
    <row r="7">
      <c r="D7" s="437"/>
      <c r="I7" s="436" t="s">
        <v>326</v>
      </c>
      <c r="J7" s="436">
        <v>20.0</v>
      </c>
      <c r="M7" s="438" t="s">
        <v>9</v>
      </c>
      <c r="N7" s="439" t="str">
        <f>vlookup(M7,Summary!$E:$G,3,false)</f>
        <v>lamnt@planadd.com</v>
      </c>
      <c r="O7" s="440">
        <f t="shared" si="1"/>
        <v>0</v>
      </c>
    </row>
    <row r="8">
      <c r="D8" s="437"/>
      <c r="I8" s="436" t="s">
        <v>327</v>
      </c>
      <c r="J8" s="436">
        <v>25.0</v>
      </c>
      <c r="M8" s="438" t="s">
        <v>10</v>
      </c>
      <c r="N8" s="439" t="str">
        <f>vlookup(M8,Summary!$E:$G,3,false)</f>
        <v>vttgiang@planadd.com</v>
      </c>
      <c r="O8" s="440">
        <f t="shared" si="1"/>
        <v>0</v>
      </c>
    </row>
    <row r="9">
      <c r="D9" s="437"/>
      <c r="I9" s="436" t="s">
        <v>328</v>
      </c>
      <c r="J9" s="436">
        <v>30.0</v>
      </c>
      <c r="M9" s="438" t="s">
        <v>11</v>
      </c>
      <c r="N9" s="439" t="str">
        <f>vlookup(M9,Summary!$E:$G,3,false)</f>
        <v>laquan@planadd.com</v>
      </c>
      <c r="O9" s="440">
        <f t="shared" si="1"/>
        <v>0</v>
      </c>
    </row>
    <row r="10">
      <c r="D10" s="437"/>
      <c r="I10" s="440"/>
      <c r="J10" s="440"/>
      <c r="M10" s="438" t="s">
        <v>12</v>
      </c>
      <c r="N10" s="439" t="str">
        <f>vlookup(M10,Summary!$E:$G,3,false)</f>
        <v>giangdt@planadd.com</v>
      </c>
      <c r="O10" s="440">
        <f t="shared" si="1"/>
        <v>0</v>
      </c>
    </row>
    <row r="11">
      <c r="D11" s="437"/>
      <c r="I11" s="440"/>
      <c r="J11" s="440"/>
      <c r="M11" s="438" t="s">
        <v>13</v>
      </c>
      <c r="N11" s="439" t="str">
        <f>vlookup(M11,Summary!$E:$G,3,false)</f>
        <v>nlhuong@planadd.com</v>
      </c>
      <c r="O11" s="440">
        <f t="shared" si="1"/>
        <v>0</v>
      </c>
    </row>
    <row r="12">
      <c r="D12" s="437"/>
      <c r="I12" s="440"/>
      <c r="J12" s="440"/>
      <c r="M12" s="438" t="s">
        <v>14</v>
      </c>
      <c r="N12" s="439" t="str">
        <f>vlookup(M12,Summary!$E:$G,3,false)</f>
        <v>ndkien@add-group.net</v>
      </c>
      <c r="O12" s="440">
        <f t="shared" si="1"/>
        <v>0</v>
      </c>
    </row>
    <row r="13">
      <c r="D13" s="437"/>
      <c r="I13" s="440"/>
      <c r="J13" s="440"/>
      <c r="M13" s="438" t="s">
        <v>15</v>
      </c>
      <c r="N13" s="439" t="str">
        <f>vlookup(M13,Summary!$E:$G,3,false)</f>
        <v>vuna@planadd.com</v>
      </c>
      <c r="O13" s="440">
        <f t="shared" si="1"/>
        <v>0</v>
      </c>
    </row>
    <row r="14">
      <c r="D14" s="437"/>
      <c r="I14" s="440"/>
      <c r="J14" s="440"/>
      <c r="M14" s="438" t="s">
        <v>16</v>
      </c>
      <c r="N14" s="439" t="str">
        <f>vlookup(M14,Summary!$E:$G,3,false)</f>
        <v>thangnd@planadd.com</v>
      </c>
      <c r="O14" s="440">
        <f t="shared" si="1"/>
        <v>0</v>
      </c>
    </row>
    <row r="15">
      <c r="D15" s="437"/>
      <c r="I15" s="440"/>
      <c r="J15" s="440"/>
      <c r="M15" s="438" t="s">
        <v>17</v>
      </c>
      <c r="N15" s="439" t="str">
        <f>vlookup(M15,Summary!$E:$G,3,false)</f>
        <v>ddthuyet@add-group.net</v>
      </c>
      <c r="O15" s="440">
        <f t="shared" si="1"/>
        <v>0</v>
      </c>
    </row>
    <row r="16">
      <c r="D16" s="437"/>
      <c r="I16" s="440"/>
      <c r="J16" s="440"/>
      <c r="M16" s="438" t="s">
        <v>90</v>
      </c>
      <c r="N16" s="439" t="str">
        <f>vlookup(M16,Summary!$E:$G,3,false)</f>
        <v>namnt@planadd.com</v>
      </c>
      <c r="O16" s="440">
        <f t="shared" si="1"/>
        <v>0</v>
      </c>
    </row>
    <row r="17">
      <c r="D17" s="437"/>
      <c r="I17" s="440"/>
      <c r="J17" s="440"/>
      <c r="M17" s="439" t="str">
        <f>Summary!E44</f>
        <v/>
      </c>
      <c r="N17" s="439" t="str">
        <f>vlookup(M17,Summary!$E:$G,3,false)</f>
        <v>#N/A</v>
      </c>
      <c r="O17" s="440" t="str">
        <f t="shared" si="1"/>
        <v>#N/A</v>
      </c>
    </row>
    <row r="18">
      <c r="D18" s="437"/>
      <c r="I18" s="440"/>
      <c r="J18" s="440"/>
      <c r="M18" s="438" t="s">
        <v>18</v>
      </c>
      <c r="N18" s="439" t="str">
        <f>vlookup(M18,Summary!$E:$G,3,false)</f>
        <v>tientt@add-group.net</v>
      </c>
      <c r="O18" s="440">
        <f t="shared" si="1"/>
        <v>0</v>
      </c>
    </row>
    <row r="19">
      <c r="D19" s="437"/>
      <c r="I19" s="440"/>
      <c r="J19" s="440"/>
      <c r="M19" s="438" t="s">
        <v>19</v>
      </c>
      <c r="N19" s="439" t="str">
        <f>vlookup(M19,Summary!$E:$G,3,false)</f>
        <v>tvluat@add-group.net</v>
      </c>
      <c r="O19" s="440">
        <f t="shared" si="1"/>
        <v>0</v>
      </c>
    </row>
    <row r="20">
      <c r="D20" s="437"/>
      <c r="I20" s="440"/>
      <c r="J20" s="440"/>
      <c r="M20" s="438" t="s">
        <v>20</v>
      </c>
      <c r="N20" s="439" t="str">
        <f>vlookup(M20,Summary!$E:$G,3,false)</f>
        <v>800.1@add-group.net</v>
      </c>
      <c r="O20" s="440">
        <f t="shared" si="1"/>
        <v>0</v>
      </c>
    </row>
    <row r="21">
      <c r="D21" s="437"/>
      <c r="I21" s="440"/>
      <c r="J21" s="440"/>
      <c r="M21" s="438" t="s">
        <v>21</v>
      </c>
      <c r="N21" s="439" t="str">
        <f>vlookup(M21,Summary!$E:$G,3,false)</f>
        <v>nqtrang@add-group.net</v>
      </c>
      <c r="O21" s="440">
        <f t="shared" si="1"/>
        <v>0</v>
      </c>
    </row>
    <row r="22">
      <c r="D22" s="437"/>
      <c r="I22" s="440"/>
      <c r="J22" s="440"/>
      <c r="M22" s="438" t="s">
        <v>22</v>
      </c>
      <c r="N22" s="439" t="str">
        <f>vlookup(M22,Summary!$E:$G,3,false)</f>
        <v>ltsim@add-group.net</v>
      </c>
      <c r="O22" s="440">
        <f t="shared" si="1"/>
        <v>0</v>
      </c>
    </row>
    <row r="23">
      <c r="D23" s="437"/>
      <c r="I23" s="440"/>
      <c r="J23" s="440"/>
      <c r="M23" s="438" t="s">
        <v>23</v>
      </c>
      <c r="N23" s="439" t="str">
        <f>vlookup(M23,Summary!$E:$G,3,false)</f>
        <v>ntthuy@add-group.net</v>
      </c>
      <c r="O23" s="440">
        <f t="shared" si="1"/>
        <v>0</v>
      </c>
    </row>
    <row r="24">
      <c r="D24" s="437"/>
      <c r="I24" s="440"/>
      <c r="J24" s="440"/>
      <c r="M24" s="438" t="s">
        <v>24</v>
      </c>
      <c r="N24" s="439" t="str">
        <f>vlookup(M24,Summary!$E:$G,3,false)</f>
        <v>vthong@add-group.net</v>
      </c>
      <c r="O24" s="440">
        <f t="shared" si="1"/>
        <v>0</v>
      </c>
    </row>
    <row r="25">
      <c r="D25" s="437"/>
      <c r="I25" s="440"/>
      <c r="J25" s="440"/>
      <c r="M25" s="438" t="s">
        <v>25</v>
      </c>
      <c r="N25" s="439" t="str">
        <f>vlookup(M25,Summary!$E:$G,3,false)</f>
        <v>tmtam@add-group.net</v>
      </c>
      <c r="O25" s="440">
        <f t="shared" si="1"/>
        <v>0</v>
      </c>
    </row>
    <row r="26">
      <c r="D26" s="437"/>
      <c r="M26" s="438" t="s">
        <v>27</v>
      </c>
      <c r="N26" s="439" t="str">
        <f>vlookup(M26,Summary!$E:$G,3,false)</f>
        <v>thaotn@planadd.com</v>
      </c>
      <c r="O26" s="440">
        <f t="shared" si="1"/>
        <v>0</v>
      </c>
    </row>
    <row r="27">
      <c r="D27" s="437"/>
      <c r="M27" s="438" t="s">
        <v>29</v>
      </c>
      <c r="N27" s="439" t="str">
        <f>vlookup(M27,Summary!$E:$G,3,false)</f>
        <v>quyenlt@add-group.net</v>
      </c>
      <c r="O27" s="440">
        <f t="shared" si="1"/>
        <v>0</v>
      </c>
    </row>
    <row r="28">
      <c r="I28" s="298"/>
      <c r="J28" s="298"/>
      <c r="M28" s="438" t="s">
        <v>30</v>
      </c>
      <c r="N28" s="440"/>
      <c r="O28" s="436"/>
    </row>
    <row r="29">
      <c r="I29" s="298"/>
      <c r="J29" s="298"/>
      <c r="M29" s="440"/>
      <c r="N29" s="440"/>
      <c r="O29" s="440"/>
    </row>
    <row r="30">
      <c r="I30" s="298"/>
      <c r="J30" s="298"/>
      <c r="M30" s="440"/>
      <c r="N30" s="440"/>
      <c r="O30" s="440"/>
    </row>
    <row r="31">
      <c r="I31" s="298"/>
      <c r="J31" s="298"/>
      <c r="M31" s="440"/>
      <c r="N31" s="440"/>
      <c r="O31" s="440"/>
    </row>
    <row r="32">
      <c r="I32" s="298"/>
      <c r="J32" s="298"/>
      <c r="M32" s="440"/>
      <c r="N32" s="440"/>
      <c r="O32" s="440"/>
    </row>
    <row r="33">
      <c r="I33" s="298"/>
      <c r="J33" s="298"/>
      <c r="M33" s="440"/>
      <c r="N33" s="440"/>
      <c r="O33" s="440"/>
    </row>
    <row r="34">
      <c r="I34" s="298"/>
      <c r="J34" s="298"/>
      <c r="M34" s="440"/>
      <c r="N34" s="440"/>
      <c r="O34" s="440"/>
    </row>
    <row r="35">
      <c r="I35" s="298"/>
      <c r="J35" s="298"/>
      <c r="M35" s="440"/>
      <c r="N35" s="440"/>
      <c r="O35" s="440"/>
    </row>
    <row r="36">
      <c r="I36" s="298"/>
      <c r="J36" s="298"/>
      <c r="M36" s="440"/>
      <c r="N36" s="440"/>
      <c r="O36" s="440"/>
    </row>
    <row r="37">
      <c r="I37" s="298"/>
      <c r="J37" s="298"/>
      <c r="M37" s="440"/>
      <c r="N37" s="440"/>
      <c r="O37" s="440"/>
    </row>
    <row r="38">
      <c r="I38" s="298"/>
      <c r="J38" s="298"/>
      <c r="M38" s="440"/>
      <c r="N38" s="440"/>
      <c r="O38" s="440"/>
    </row>
    <row r="39">
      <c r="A39" s="197" t="str">
        <f t="array" ref="A39:E193">sort('ADDSTORE Raw'!A:E,'ADDSTORE Raw'!A:A,false)</f>
        <v>Timestamp</v>
      </c>
      <c r="B39" s="197" t="s">
        <v>306</v>
      </c>
      <c r="C39" s="197" t="s">
        <v>312</v>
      </c>
      <c r="D39" s="197" t="s">
        <v>313</v>
      </c>
      <c r="E39" s="197" t="s">
        <v>314</v>
      </c>
    </row>
    <row r="40">
      <c r="A40" s="426" t="s">
        <v>305</v>
      </c>
      <c r="B40" s="426" t="s">
        <v>306</v>
      </c>
      <c r="C40" s="426" t="s">
        <v>307</v>
      </c>
      <c r="D40" s="426" t="s">
        <v>308</v>
      </c>
      <c r="E40" s="363" t="s">
        <v>309</v>
      </c>
      <c r="F40" s="363" t="s">
        <v>321</v>
      </c>
    </row>
    <row r="41">
      <c r="A41" s="197"/>
      <c r="B41" s="197"/>
      <c r="C41" s="197"/>
      <c r="D41" s="197"/>
      <c r="E41" s="197"/>
      <c r="F41" s="197" t="str">
        <f t="shared" ref="F41:F380" si="2">if(C41=$M$1,,vlookup(C41,$I$3:$J$25,2,false))</f>
        <v/>
      </c>
    </row>
    <row r="42">
      <c r="A42" s="197"/>
      <c r="B42" s="197"/>
      <c r="C42" s="197"/>
      <c r="D42" s="197"/>
      <c r="E42" s="197"/>
      <c r="F42" s="197" t="str">
        <f t="shared" si="2"/>
        <v/>
      </c>
    </row>
    <row r="43">
      <c r="A43" s="197"/>
      <c r="B43" s="197"/>
      <c r="C43" s="197"/>
      <c r="D43" s="197"/>
      <c r="E43" s="197"/>
      <c r="F43" s="197" t="str">
        <f t="shared" si="2"/>
        <v/>
      </c>
    </row>
    <row r="44">
      <c r="A44" s="197"/>
      <c r="B44" s="197"/>
      <c r="C44" s="197"/>
      <c r="D44" s="197"/>
      <c r="E44" s="197"/>
      <c r="F44" s="197" t="str">
        <f t="shared" si="2"/>
        <v/>
      </c>
    </row>
    <row r="45">
      <c r="A45" s="197"/>
      <c r="B45" s="197"/>
      <c r="C45" s="197"/>
      <c r="D45" s="197"/>
      <c r="E45" s="197"/>
      <c r="F45" s="197" t="str">
        <f t="shared" si="2"/>
        <v/>
      </c>
    </row>
    <row r="46">
      <c r="A46" s="197"/>
      <c r="B46" s="197"/>
      <c r="C46" s="197"/>
      <c r="D46" s="197"/>
      <c r="E46" s="197"/>
      <c r="F46" s="197" t="str">
        <f t="shared" si="2"/>
        <v/>
      </c>
    </row>
    <row r="47">
      <c r="A47" s="197"/>
      <c r="B47" s="197"/>
      <c r="C47" s="197"/>
      <c r="D47" s="197"/>
      <c r="E47" s="197"/>
      <c r="F47" s="197" t="str">
        <f t="shared" si="2"/>
        <v/>
      </c>
    </row>
    <row r="48">
      <c r="A48" s="197"/>
      <c r="B48" s="197"/>
      <c r="C48" s="197"/>
      <c r="D48" s="197"/>
      <c r="E48" s="197"/>
      <c r="F48" s="197" t="str">
        <f t="shared" si="2"/>
        <v/>
      </c>
    </row>
    <row r="49">
      <c r="A49" s="197"/>
      <c r="B49" s="197"/>
      <c r="C49" s="197"/>
      <c r="D49" s="197"/>
      <c r="E49" s="197"/>
      <c r="F49" s="197" t="str">
        <f t="shared" si="2"/>
        <v/>
      </c>
    </row>
    <row r="50">
      <c r="A50" s="197"/>
      <c r="B50" s="197"/>
      <c r="C50" s="197"/>
      <c r="D50" s="197"/>
      <c r="E50" s="197"/>
      <c r="F50" s="197" t="str">
        <f t="shared" si="2"/>
        <v/>
      </c>
    </row>
    <row r="51">
      <c r="A51" s="197"/>
      <c r="B51" s="197"/>
      <c r="C51" s="197"/>
      <c r="D51" s="197"/>
      <c r="E51" s="197"/>
      <c r="F51" s="197" t="str">
        <f t="shared" si="2"/>
        <v/>
      </c>
    </row>
    <row r="52">
      <c r="A52" s="197"/>
      <c r="B52" s="197"/>
      <c r="C52" s="197"/>
      <c r="D52" s="197"/>
      <c r="E52" s="197"/>
      <c r="F52" s="197" t="str">
        <f t="shared" si="2"/>
        <v/>
      </c>
    </row>
    <row r="53">
      <c r="A53" s="197"/>
      <c r="B53" s="197"/>
      <c r="C53" s="197"/>
      <c r="D53" s="197"/>
      <c r="E53" s="197"/>
      <c r="F53" s="197" t="str">
        <f t="shared" si="2"/>
        <v/>
      </c>
    </row>
    <row r="54">
      <c r="A54" s="197"/>
      <c r="B54" s="197"/>
      <c r="C54" s="197"/>
      <c r="D54" s="197"/>
      <c r="E54" s="197"/>
      <c r="F54" s="197" t="str">
        <f t="shared" si="2"/>
        <v/>
      </c>
    </row>
    <row r="55">
      <c r="A55" s="197"/>
      <c r="B55" s="197"/>
      <c r="C55" s="197"/>
      <c r="D55" s="197"/>
      <c r="E55" s="197"/>
      <c r="F55" s="197" t="str">
        <f t="shared" si="2"/>
        <v/>
      </c>
    </row>
    <row r="56">
      <c r="A56" s="197"/>
      <c r="B56" s="197"/>
      <c r="C56" s="197"/>
      <c r="D56" s="197"/>
      <c r="E56" s="197"/>
      <c r="F56" s="197" t="str">
        <f t="shared" si="2"/>
        <v/>
      </c>
    </row>
    <row r="57">
      <c r="A57" s="197"/>
      <c r="B57" s="197"/>
      <c r="C57" s="197"/>
      <c r="D57" s="197"/>
      <c r="E57" s="197"/>
      <c r="F57" s="197" t="str">
        <f t="shared" si="2"/>
        <v/>
      </c>
    </row>
    <row r="58">
      <c r="A58" s="197"/>
      <c r="B58" s="197"/>
      <c r="C58" s="197"/>
      <c r="D58" s="197"/>
      <c r="E58" s="197"/>
      <c r="F58" s="197" t="str">
        <f t="shared" si="2"/>
        <v/>
      </c>
    </row>
    <row r="59">
      <c r="A59" s="197"/>
      <c r="B59" s="197"/>
      <c r="C59" s="197"/>
      <c r="D59" s="197"/>
      <c r="E59" s="197"/>
      <c r="F59" s="197" t="str">
        <f t="shared" si="2"/>
        <v/>
      </c>
    </row>
    <row r="60">
      <c r="A60" s="197"/>
      <c r="B60" s="197"/>
      <c r="C60" s="197"/>
      <c r="D60" s="197"/>
      <c r="E60" s="197"/>
      <c r="F60" s="197" t="str">
        <f t="shared" si="2"/>
        <v/>
      </c>
    </row>
    <row r="61">
      <c r="A61" s="197"/>
      <c r="B61" s="197"/>
      <c r="C61" s="197"/>
      <c r="D61" s="197"/>
      <c r="E61" s="197"/>
      <c r="F61" s="197" t="str">
        <f t="shared" si="2"/>
        <v/>
      </c>
    </row>
    <row r="62">
      <c r="A62" s="197"/>
      <c r="B62" s="197"/>
      <c r="C62" s="197"/>
      <c r="D62" s="197"/>
      <c r="E62" s="197"/>
      <c r="F62" s="197" t="str">
        <f t="shared" si="2"/>
        <v/>
      </c>
    </row>
    <row r="63">
      <c r="A63" s="197"/>
      <c r="B63" s="197"/>
      <c r="C63" s="197"/>
      <c r="D63" s="197"/>
      <c r="E63" s="197"/>
      <c r="F63" s="197" t="str">
        <f t="shared" si="2"/>
        <v/>
      </c>
    </row>
    <row r="64">
      <c r="A64" s="197"/>
      <c r="B64" s="197"/>
      <c r="C64" s="197"/>
      <c r="D64" s="197"/>
      <c r="E64" s="197"/>
      <c r="F64" s="197" t="str">
        <f t="shared" si="2"/>
        <v/>
      </c>
    </row>
    <row r="65">
      <c r="A65" s="197"/>
      <c r="B65" s="197"/>
      <c r="C65" s="197"/>
      <c r="D65" s="197"/>
      <c r="E65" s="197"/>
      <c r="F65" s="197" t="str">
        <f t="shared" si="2"/>
        <v/>
      </c>
    </row>
    <row r="66">
      <c r="A66" s="197"/>
      <c r="B66" s="197"/>
      <c r="C66" s="197"/>
      <c r="D66" s="197"/>
      <c r="E66" s="197"/>
      <c r="F66" s="197" t="str">
        <f t="shared" si="2"/>
        <v/>
      </c>
      <c r="M66" s="437" t="str">
        <f>Summary!E57</f>
        <v/>
      </c>
      <c r="N66" s="437"/>
      <c r="O66" s="197" t="str">
        <f t="shared" ref="O66:O101" si="3">if(N66=$G$40,,sumif($B:$B,N66,$F:$F))</f>
        <v/>
      </c>
    </row>
    <row r="67">
      <c r="A67" s="197"/>
      <c r="B67" s="197"/>
      <c r="C67" s="197"/>
      <c r="D67" s="197"/>
      <c r="E67" s="197"/>
      <c r="F67" s="197" t="str">
        <f t="shared" si="2"/>
        <v/>
      </c>
      <c r="M67" s="437" t="str">
        <f>Summary!E58</f>
        <v/>
      </c>
      <c r="N67" s="437"/>
      <c r="O67" s="197" t="str">
        <f t="shared" si="3"/>
        <v/>
      </c>
    </row>
    <row r="68">
      <c r="A68" s="197"/>
      <c r="B68" s="197"/>
      <c r="C68" s="197"/>
      <c r="D68" s="197"/>
      <c r="E68" s="197"/>
      <c r="F68" s="197" t="str">
        <f t="shared" si="2"/>
        <v/>
      </c>
      <c r="M68" s="437" t="str">
        <f>Summary!E59</f>
        <v/>
      </c>
      <c r="N68" s="437"/>
      <c r="O68" s="197" t="str">
        <f t="shared" si="3"/>
        <v/>
      </c>
    </row>
    <row r="69">
      <c r="A69" s="197"/>
      <c r="B69" s="197"/>
      <c r="C69" s="197"/>
      <c r="D69" s="197"/>
      <c r="E69" s="197"/>
      <c r="F69" s="197" t="str">
        <f t="shared" si="2"/>
        <v/>
      </c>
      <c r="M69" s="437" t="str">
        <f>Summary!E60</f>
        <v/>
      </c>
      <c r="N69" s="437"/>
      <c r="O69" s="197" t="str">
        <f t="shared" si="3"/>
        <v/>
      </c>
    </row>
    <row r="70">
      <c r="A70" s="197"/>
      <c r="B70" s="197"/>
      <c r="C70" s="197"/>
      <c r="D70" s="197"/>
      <c r="E70" s="197"/>
      <c r="F70" s="197" t="str">
        <f t="shared" si="2"/>
        <v/>
      </c>
      <c r="M70" s="437" t="str">
        <f>Summary!E61</f>
        <v/>
      </c>
      <c r="N70" s="437"/>
      <c r="O70" s="197" t="str">
        <f t="shared" si="3"/>
        <v/>
      </c>
    </row>
    <row r="71">
      <c r="A71" s="197"/>
      <c r="B71" s="197"/>
      <c r="C71" s="197"/>
      <c r="D71" s="197"/>
      <c r="E71" s="197"/>
      <c r="F71" s="197" t="str">
        <f t="shared" si="2"/>
        <v/>
      </c>
      <c r="M71" s="441" t="s">
        <v>3</v>
      </c>
      <c r="N71" s="437"/>
      <c r="O71" s="197" t="str">
        <f t="shared" si="3"/>
        <v/>
      </c>
    </row>
    <row r="72">
      <c r="A72" s="197"/>
      <c r="B72" s="197"/>
      <c r="C72" s="197"/>
      <c r="D72" s="197"/>
      <c r="E72" s="197"/>
      <c r="F72" s="197" t="str">
        <f t="shared" si="2"/>
        <v/>
      </c>
      <c r="M72" s="442"/>
      <c r="N72" s="442"/>
      <c r="O72" s="197" t="str">
        <f t="shared" si="3"/>
        <v/>
      </c>
    </row>
    <row r="73">
      <c r="A73" s="197"/>
      <c r="B73" s="197"/>
      <c r="C73" s="197"/>
      <c r="D73" s="197"/>
      <c r="E73" s="197"/>
      <c r="F73" s="197" t="str">
        <f t="shared" si="2"/>
        <v/>
      </c>
      <c r="M73" s="442"/>
      <c r="N73" s="442"/>
      <c r="O73" s="197" t="str">
        <f t="shared" si="3"/>
        <v/>
      </c>
    </row>
    <row r="74">
      <c r="A74" s="197"/>
      <c r="B74" s="197"/>
      <c r="C74" s="197"/>
      <c r="D74" s="197"/>
      <c r="E74" s="197"/>
      <c r="F74" s="197" t="str">
        <f t="shared" si="2"/>
        <v/>
      </c>
      <c r="M74" s="442"/>
      <c r="N74" s="442"/>
      <c r="O74" s="197" t="str">
        <f t="shared" si="3"/>
        <v/>
      </c>
    </row>
    <row r="75">
      <c r="A75" s="434"/>
      <c r="B75" s="197"/>
      <c r="C75" s="197"/>
      <c r="D75" s="197"/>
      <c r="E75" s="197"/>
      <c r="F75" s="197" t="str">
        <f t="shared" si="2"/>
        <v/>
      </c>
      <c r="M75" s="442"/>
      <c r="N75" s="442"/>
      <c r="O75" s="197" t="str">
        <f t="shared" si="3"/>
        <v/>
      </c>
    </row>
    <row r="76">
      <c r="A76" s="434"/>
      <c r="B76" s="197"/>
      <c r="C76" s="197"/>
      <c r="D76" s="197"/>
      <c r="E76" s="197"/>
      <c r="F76" s="197" t="str">
        <f t="shared" si="2"/>
        <v/>
      </c>
      <c r="M76" s="442"/>
      <c r="N76" s="442"/>
      <c r="O76" s="197" t="str">
        <f t="shared" si="3"/>
        <v/>
      </c>
    </row>
    <row r="77">
      <c r="A77" s="434"/>
      <c r="B77" s="197"/>
      <c r="C77" s="197"/>
      <c r="D77" s="197"/>
      <c r="E77" s="197"/>
      <c r="F77" s="197" t="str">
        <f t="shared" si="2"/>
        <v/>
      </c>
      <c r="M77" s="442"/>
      <c r="N77" s="442"/>
      <c r="O77" s="197" t="str">
        <f t="shared" si="3"/>
        <v/>
      </c>
    </row>
    <row r="78">
      <c r="A78" s="434"/>
      <c r="B78" s="197"/>
      <c r="C78" s="197"/>
      <c r="D78" s="197"/>
      <c r="E78" s="197"/>
      <c r="F78" s="197" t="str">
        <f t="shared" si="2"/>
        <v/>
      </c>
      <c r="M78" s="442"/>
      <c r="N78" s="442"/>
      <c r="O78" s="197" t="str">
        <f t="shared" si="3"/>
        <v/>
      </c>
    </row>
    <row r="79">
      <c r="A79" s="434"/>
      <c r="B79" s="197"/>
      <c r="C79" s="197"/>
      <c r="D79" s="197"/>
      <c r="E79" s="197"/>
      <c r="F79" s="197" t="str">
        <f t="shared" si="2"/>
        <v/>
      </c>
      <c r="M79" s="442"/>
      <c r="N79" s="442"/>
      <c r="O79" s="197" t="str">
        <f t="shared" si="3"/>
        <v/>
      </c>
    </row>
    <row r="80">
      <c r="A80" s="434"/>
      <c r="B80" s="197"/>
      <c r="C80" s="197"/>
      <c r="D80" s="197"/>
      <c r="E80" s="197"/>
      <c r="F80" s="197" t="str">
        <f t="shared" si="2"/>
        <v/>
      </c>
      <c r="O80" s="197" t="str">
        <f t="shared" si="3"/>
        <v/>
      </c>
    </row>
    <row r="81">
      <c r="A81" s="434"/>
      <c r="B81" s="197"/>
      <c r="C81" s="197"/>
      <c r="D81" s="197"/>
      <c r="E81" s="197"/>
      <c r="F81" s="197" t="str">
        <f t="shared" si="2"/>
        <v/>
      </c>
      <c r="O81" s="197" t="str">
        <f t="shared" si="3"/>
        <v/>
      </c>
    </row>
    <row r="82">
      <c r="A82" s="434"/>
      <c r="B82" s="197"/>
      <c r="C82" s="197"/>
      <c r="D82" s="197"/>
      <c r="E82" s="197"/>
      <c r="F82" s="197" t="str">
        <f t="shared" si="2"/>
        <v/>
      </c>
      <c r="O82" s="197" t="str">
        <f t="shared" si="3"/>
        <v/>
      </c>
    </row>
    <row r="83">
      <c r="A83" s="434"/>
      <c r="B83" s="197"/>
      <c r="C83" s="197"/>
      <c r="D83" s="197"/>
      <c r="E83" s="197"/>
      <c r="F83" s="197" t="str">
        <f t="shared" si="2"/>
        <v/>
      </c>
      <c r="O83" s="197" t="str">
        <f t="shared" si="3"/>
        <v/>
      </c>
    </row>
    <row r="84">
      <c r="A84" s="434"/>
      <c r="B84" s="197"/>
      <c r="C84" s="197"/>
      <c r="D84" s="197"/>
      <c r="E84" s="197"/>
      <c r="F84" s="197" t="str">
        <f t="shared" si="2"/>
        <v/>
      </c>
      <c r="O84" s="197" t="str">
        <f t="shared" si="3"/>
        <v/>
      </c>
    </row>
    <row r="85">
      <c r="A85" s="434"/>
      <c r="B85" s="197"/>
      <c r="C85" s="197"/>
      <c r="D85" s="197"/>
      <c r="E85" s="197"/>
      <c r="F85" s="197" t="str">
        <f t="shared" si="2"/>
        <v/>
      </c>
      <c r="O85" s="197" t="str">
        <f t="shared" si="3"/>
        <v/>
      </c>
    </row>
    <row r="86">
      <c r="A86" s="434"/>
      <c r="B86" s="197"/>
      <c r="C86" s="197"/>
      <c r="D86" s="197"/>
      <c r="E86" s="197"/>
      <c r="F86" s="197" t="str">
        <f t="shared" si="2"/>
        <v/>
      </c>
      <c r="O86" s="197" t="str">
        <f t="shared" si="3"/>
        <v/>
      </c>
    </row>
    <row r="87">
      <c r="A87" s="434"/>
      <c r="B87" s="197"/>
      <c r="C87" s="197"/>
      <c r="D87" s="197"/>
      <c r="E87" s="197"/>
      <c r="F87" s="197" t="str">
        <f t="shared" si="2"/>
        <v/>
      </c>
      <c r="O87" s="197" t="str">
        <f t="shared" si="3"/>
        <v/>
      </c>
    </row>
    <row r="88">
      <c r="A88" s="434"/>
      <c r="B88" s="197"/>
      <c r="C88" s="197"/>
      <c r="D88" s="197"/>
      <c r="E88" s="197"/>
      <c r="F88" s="197" t="str">
        <f t="shared" si="2"/>
        <v/>
      </c>
      <c r="O88" s="197" t="str">
        <f t="shared" si="3"/>
        <v/>
      </c>
    </row>
    <row r="89">
      <c r="A89" s="434"/>
      <c r="B89" s="197"/>
      <c r="C89" s="197"/>
      <c r="D89" s="197"/>
      <c r="E89" s="197"/>
      <c r="F89" s="197" t="str">
        <f t="shared" si="2"/>
        <v/>
      </c>
      <c r="O89" s="197" t="str">
        <f t="shared" si="3"/>
        <v/>
      </c>
    </row>
    <row r="90">
      <c r="A90" s="434"/>
      <c r="B90" s="197"/>
      <c r="C90" s="197"/>
      <c r="D90" s="197"/>
      <c r="E90" s="197"/>
      <c r="F90" s="197" t="str">
        <f t="shared" si="2"/>
        <v/>
      </c>
      <c r="O90" s="197" t="str">
        <f t="shared" si="3"/>
        <v/>
      </c>
    </row>
    <row r="91">
      <c r="A91" s="434"/>
      <c r="B91" s="197"/>
      <c r="C91" s="197"/>
      <c r="D91" s="197"/>
      <c r="E91" s="197"/>
      <c r="F91" s="197" t="str">
        <f t="shared" si="2"/>
        <v/>
      </c>
      <c r="O91" s="197" t="str">
        <f t="shared" si="3"/>
        <v/>
      </c>
    </row>
    <row r="92">
      <c r="A92" s="434"/>
      <c r="B92" s="197"/>
      <c r="C92" s="197"/>
      <c r="D92" s="197"/>
      <c r="E92" s="197"/>
      <c r="F92" s="197" t="str">
        <f t="shared" si="2"/>
        <v/>
      </c>
      <c r="O92" s="197" t="str">
        <f t="shared" si="3"/>
        <v/>
      </c>
    </row>
    <row r="93">
      <c r="A93" s="434"/>
      <c r="B93" s="197"/>
      <c r="C93" s="197"/>
      <c r="D93" s="197"/>
      <c r="E93" s="197"/>
      <c r="F93" s="197" t="str">
        <f t="shared" si="2"/>
        <v/>
      </c>
      <c r="O93" s="197" t="str">
        <f t="shared" si="3"/>
        <v/>
      </c>
    </row>
    <row r="94">
      <c r="A94" s="197"/>
      <c r="B94" s="197"/>
      <c r="C94" s="197"/>
      <c r="D94" s="197"/>
      <c r="E94" s="197"/>
      <c r="F94" s="197" t="str">
        <f t="shared" si="2"/>
        <v/>
      </c>
      <c r="O94" s="197" t="str">
        <f t="shared" si="3"/>
        <v/>
      </c>
    </row>
    <row r="95">
      <c r="A95" s="197"/>
      <c r="B95" s="197"/>
      <c r="C95" s="197"/>
      <c r="D95" s="197"/>
      <c r="E95" s="197"/>
      <c r="F95" s="197" t="str">
        <f t="shared" si="2"/>
        <v/>
      </c>
      <c r="O95" s="197" t="str">
        <f t="shared" si="3"/>
        <v/>
      </c>
    </row>
    <row r="96">
      <c r="A96" s="197"/>
      <c r="B96" s="197"/>
      <c r="C96" s="197"/>
      <c r="D96" s="197"/>
      <c r="E96" s="197"/>
      <c r="F96" s="197" t="str">
        <f t="shared" si="2"/>
        <v/>
      </c>
      <c r="O96" s="197" t="str">
        <f t="shared" si="3"/>
        <v/>
      </c>
    </row>
    <row r="97">
      <c r="A97" s="197"/>
      <c r="B97" s="197"/>
      <c r="C97" s="197"/>
      <c r="D97" s="197"/>
      <c r="E97" s="197"/>
      <c r="F97" s="197" t="str">
        <f t="shared" si="2"/>
        <v/>
      </c>
      <c r="O97" s="197" t="str">
        <f t="shared" si="3"/>
        <v/>
      </c>
    </row>
    <row r="98">
      <c r="A98" s="197"/>
      <c r="B98" s="197"/>
      <c r="C98" s="197"/>
      <c r="D98" s="197"/>
      <c r="E98" s="197"/>
      <c r="F98" s="197" t="str">
        <f t="shared" si="2"/>
        <v/>
      </c>
      <c r="O98" s="197" t="str">
        <f t="shared" si="3"/>
        <v/>
      </c>
    </row>
    <row r="99">
      <c r="A99" s="197"/>
      <c r="B99" s="197"/>
      <c r="C99" s="197"/>
      <c r="D99" s="197"/>
      <c r="E99" s="197"/>
      <c r="F99" s="197" t="str">
        <f t="shared" si="2"/>
        <v/>
      </c>
      <c r="O99" s="197" t="str">
        <f t="shared" si="3"/>
        <v/>
      </c>
    </row>
    <row r="100">
      <c r="A100" s="197"/>
      <c r="B100" s="197"/>
      <c r="C100" s="197"/>
      <c r="D100" s="197"/>
      <c r="E100" s="197"/>
      <c r="F100" s="197" t="str">
        <f t="shared" si="2"/>
        <v/>
      </c>
      <c r="O100" s="197" t="str">
        <f t="shared" si="3"/>
        <v/>
      </c>
    </row>
    <row r="101">
      <c r="A101" s="197"/>
      <c r="B101" s="197"/>
      <c r="C101" s="197"/>
      <c r="D101" s="197"/>
      <c r="E101" s="197"/>
      <c r="F101" s="197" t="str">
        <f t="shared" si="2"/>
        <v/>
      </c>
      <c r="O101" s="197" t="str">
        <f t="shared" si="3"/>
        <v/>
      </c>
    </row>
    <row r="102">
      <c r="A102" s="197"/>
      <c r="B102" s="197"/>
      <c r="C102" s="197"/>
      <c r="D102" s="197"/>
      <c r="E102" s="197"/>
      <c r="F102" s="197" t="str">
        <f t="shared" si="2"/>
        <v/>
      </c>
      <c r="O102" s="197" t="str">
        <f t="shared" ref="O102:O170" si="4">if(L102=$G$40,,sumif($B:$B,L102,$F:$F))</f>
        <v/>
      </c>
    </row>
    <row r="103">
      <c r="A103" s="197"/>
      <c r="B103" s="197"/>
      <c r="C103" s="197"/>
      <c r="D103" s="197"/>
      <c r="E103" s="197"/>
      <c r="F103" s="197" t="str">
        <f t="shared" si="2"/>
        <v/>
      </c>
      <c r="O103" s="197" t="str">
        <f t="shared" si="4"/>
        <v/>
      </c>
    </row>
    <row r="104">
      <c r="A104" s="197"/>
      <c r="B104" s="197"/>
      <c r="C104" s="197"/>
      <c r="D104" s="197"/>
      <c r="E104" s="197"/>
      <c r="F104" s="197" t="str">
        <f t="shared" si="2"/>
        <v/>
      </c>
      <c r="O104" s="197" t="str">
        <f t="shared" si="4"/>
        <v/>
      </c>
    </row>
    <row r="105">
      <c r="A105" s="197"/>
      <c r="B105" s="197"/>
      <c r="C105" s="197"/>
      <c r="D105" s="197"/>
      <c r="E105" s="197"/>
      <c r="F105" s="197" t="str">
        <f t="shared" si="2"/>
        <v/>
      </c>
      <c r="O105" s="197" t="str">
        <f t="shared" si="4"/>
        <v/>
      </c>
    </row>
    <row r="106">
      <c r="A106" s="197"/>
      <c r="B106" s="197"/>
      <c r="C106" s="197"/>
      <c r="D106" s="197"/>
      <c r="E106" s="197"/>
      <c r="F106" s="197" t="str">
        <f t="shared" si="2"/>
        <v/>
      </c>
      <c r="O106" s="197" t="str">
        <f t="shared" si="4"/>
        <v/>
      </c>
    </row>
    <row r="107">
      <c r="A107" s="197"/>
      <c r="B107" s="197"/>
      <c r="C107" s="197"/>
      <c r="D107" s="197"/>
      <c r="E107" s="197"/>
      <c r="F107" s="197" t="str">
        <f t="shared" si="2"/>
        <v/>
      </c>
      <c r="O107" s="197" t="str">
        <f t="shared" si="4"/>
        <v/>
      </c>
    </row>
    <row r="108">
      <c r="A108" s="197"/>
      <c r="B108" s="197"/>
      <c r="C108" s="197"/>
      <c r="D108" s="197"/>
      <c r="E108" s="197"/>
      <c r="F108" s="197" t="str">
        <f t="shared" si="2"/>
        <v/>
      </c>
      <c r="O108" s="197" t="str">
        <f t="shared" si="4"/>
        <v/>
      </c>
    </row>
    <row r="109">
      <c r="A109" s="197"/>
      <c r="B109" s="197"/>
      <c r="C109" s="197"/>
      <c r="D109" s="197"/>
      <c r="E109" s="197"/>
      <c r="F109" s="197" t="str">
        <f t="shared" si="2"/>
        <v/>
      </c>
      <c r="O109" s="197" t="str">
        <f t="shared" si="4"/>
        <v/>
      </c>
    </row>
    <row r="110">
      <c r="A110" s="197"/>
      <c r="B110" s="197"/>
      <c r="C110" s="197"/>
      <c r="D110" s="197"/>
      <c r="E110" s="197"/>
      <c r="F110" s="197" t="str">
        <f t="shared" si="2"/>
        <v/>
      </c>
      <c r="O110" s="197" t="str">
        <f t="shared" si="4"/>
        <v/>
      </c>
    </row>
    <row r="111">
      <c r="A111" s="197"/>
      <c r="B111" s="197"/>
      <c r="C111" s="197"/>
      <c r="D111" s="197"/>
      <c r="E111" s="197"/>
      <c r="F111" s="197" t="str">
        <f t="shared" si="2"/>
        <v/>
      </c>
      <c r="O111" s="197" t="str">
        <f t="shared" si="4"/>
        <v/>
      </c>
    </row>
    <row r="112">
      <c r="A112" s="197"/>
      <c r="B112" s="197"/>
      <c r="C112" s="197"/>
      <c r="D112" s="197"/>
      <c r="E112" s="197"/>
      <c r="F112" s="197" t="str">
        <f t="shared" si="2"/>
        <v/>
      </c>
      <c r="O112" s="197" t="str">
        <f t="shared" si="4"/>
        <v/>
      </c>
    </row>
    <row r="113">
      <c r="A113" s="197"/>
      <c r="B113" s="197"/>
      <c r="C113" s="197"/>
      <c r="D113" s="197"/>
      <c r="E113" s="197"/>
      <c r="F113" s="197" t="str">
        <f t="shared" si="2"/>
        <v/>
      </c>
      <c r="O113" s="197" t="str">
        <f t="shared" si="4"/>
        <v/>
      </c>
    </row>
    <row r="114">
      <c r="A114" s="197"/>
      <c r="B114" s="197"/>
      <c r="C114" s="197"/>
      <c r="D114" s="197"/>
      <c r="E114" s="197"/>
      <c r="F114" s="197" t="str">
        <f t="shared" si="2"/>
        <v/>
      </c>
      <c r="O114" s="197" t="str">
        <f t="shared" si="4"/>
        <v/>
      </c>
    </row>
    <row r="115">
      <c r="A115" s="197"/>
      <c r="B115" s="197"/>
      <c r="C115" s="197"/>
      <c r="D115" s="197"/>
      <c r="E115" s="197"/>
      <c r="F115" s="197" t="str">
        <f t="shared" si="2"/>
        <v/>
      </c>
      <c r="O115" s="197" t="str">
        <f t="shared" si="4"/>
        <v/>
      </c>
    </row>
    <row r="116">
      <c r="A116" s="197"/>
      <c r="B116" s="197"/>
      <c r="C116" s="197"/>
      <c r="D116" s="197"/>
      <c r="E116" s="197"/>
      <c r="F116" s="197" t="str">
        <f t="shared" si="2"/>
        <v/>
      </c>
      <c r="O116" s="197" t="str">
        <f t="shared" si="4"/>
        <v/>
      </c>
    </row>
    <row r="117">
      <c r="A117" s="197"/>
      <c r="B117" s="197"/>
      <c r="C117" s="197"/>
      <c r="D117" s="197"/>
      <c r="E117" s="197"/>
      <c r="F117" s="197" t="str">
        <f t="shared" si="2"/>
        <v/>
      </c>
      <c r="O117" s="197" t="str">
        <f t="shared" si="4"/>
        <v/>
      </c>
    </row>
    <row r="118">
      <c r="A118" s="197"/>
      <c r="B118" s="197"/>
      <c r="C118" s="197"/>
      <c r="D118" s="197"/>
      <c r="E118" s="197"/>
      <c r="F118" s="197" t="str">
        <f t="shared" si="2"/>
        <v/>
      </c>
      <c r="O118" s="197" t="str">
        <f t="shared" si="4"/>
        <v/>
      </c>
    </row>
    <row r="119">
      <c r="A119" s="197"/>
      <c r="B119" s="197"/>
      <c r="C119" s="197"/>
      <c r="D119" s="197"/>
      <c r="E119" s="197"/>
      <c r="F119" s="197" t="str">
        <f t="shared" si="2"/>
        <v/>
      </c>
      <c r="O119" s="197" t="str">
        <f t="shared" si="4"/>
        <v/>
      </c>
    </row>
    <row r="120">
      <c r="A120" s="197"/>
      <c r="B120" s="197"/>
      <c r="C120" s="197"/>
      <c r="D120" s="197"/>
      <c r="E120" s="197"/>
      <c r="F120" s="197" t="str">
        <f t="shared" si="2"/>
        <v/>
      </c>
      <c r="O120" s="197" t="str">
        <f t="shared" si="4"/>
        <v/>
      </c>
    </row>
    <row r="121">
      <c r="A121" s="197"/>
      <c r="B121" s="197"/>
      <c r="C121" s="197"/>
      <c r="D121" s="197"/>
      <c r="E121" s="197"/>
      <c r="F121" s="197" t="str">
        <f t="shared" si="2"/>
        <v/>
      </c>
      <c r="O121" s="197" t="str">
        <f t="shared" si="4"/>
        <v/>
      </c>
    </row>
    <row r="122">
      <c r="A122" s="197"/>
      <c r="B122" s="197"/>
      <c r="C122" s="197"/>
      <c r="D122" s="197"/>
      <c r="E122" s="197"/>
      <c r="F122" s="197" t="str">
        <f t="shared" si="2"/>
        <v/>
      </c>
      <c r="O122" s="197" t="str">
        <f t="shared" si="4"/>
        <v/>
      </c>
    </row>
    <row r="123">
      <c r="A123" s="197"/>
      <c r="B123" s="197"/>
      <c r="C123" s="197"/>
      <c r="D123" s="197"/>
      <c r="E123" s="197"/>
      <c r="F123" s="197" t="str">
        <f t="shared" si="2"/>
        <v/>
      </c>
      <c r="O123" s="197" t="str">
        <f t="shared" si="4"/>
        <v/>
      </c>
    </row>
    <row r="124">
      <c r="A124" s="197"/>
      <c r="B124" s="197"/>
      <c r="C124" s="197"/>
      <c r="D124" s="197"/>
      <c r="E124" s="197"/>
      <c r="F124" s="197" t="str">
        <f t="shared" si="2"/>
        <v/>
      </c>
      <c r="O124" s="197" t="str">
        <f t="shared" si="4"/>
        <v/>
      </c>
    </row>
    <row r="125">
      <c r="A125" s="197"/>
      <c r="B125" s="197"/>
      <c r="C125" s="197"/>
      <c r="D125" s="197"/>
      <c r="E125" s="197"/>
      <c r="F125" s="197" t="str">
        <f t="shared" si="2"/>
        <v/>
      </c>
      <c r="O125" s="197" t="str">
        <f t="shared" si="4"/>
        <v/>
      </c>
    </row>
    <row r="126">
      <c r="A126" s="197"/>
      <c r="B126" s="197"/>
      <c r="C126" s="197"/>
      <c r="D126" s="197"/>
      <c r="E126" s="197"/>
      <c r="F126" s="197" t="str">
        <f t="shared" si="2"/>
        <v/>
      </c>
      <c r="O126" s="197" t="str">
        <f t="shared" si="4"/>
        <v/>
      </c>
    </row>
    <row r="127">
      <c r="A127" s="197"/>
      <c r="B127" s="197"/>
      <c r="C127" s="197"/>
      <c r="D127" s="197"/>
      <c r="E127" s="197"/>
      <c r="F127" s="197" t="str">
        <f t="shared" si="2"/>
        <v/>
      </c>
      <c r="O127" s="197" t="str">
        <f t="shared" si="4"/>
        <v/>
      </c>
    </row>
    <row r="128">
      <c r="A128" s="197"/>
      <c r="B128" s="197"/>
      <c r="C128" s="197"/>
      <c r="D128" s="197"/>
      <c r="E128" s="197"/>
      <c r="F128" s="197" t="str">
        <f t="shared" si="2"/>
        <v/>
      </c>
      <c r="O128" s="197" t="str">
        <f t="shared" si="4"/>
        <v/>
      </c>
    </row>
    <row r="129">
      <c r="A129" s="197"/>
      <c r="B129" s="197"/>
      <c r="C129" s="197"/>
      <c r="D129" s="197"/>
      <c r="E129" s="197"/>
      <c r="F129" s="197" t="str">
        <f t="shared" si="2"/>
        <v/>
      </c>
      <c r="O129" s="197" t="str">
        <f t="shared" si="4"/>
        <v/>
      </c>
    </row>
    <row r="130">
      <c r="A130" s="197"/>
      <c r="B130" s="197"/>
      <c r="C130" s="197"/>
      <c r="D130" s="197"/>
      <c r="E130" s="197"/>
      <c r="F130" s="197" t="str">
        <f t="shared" si="2"/>
        <v/>
      </c>
      <c r="O130" s="197" t="str">
        <f t="shared" si="4"/>
        <v/>
      </c>
    </row>
    <row r="131">
      <c r="A131" s="197"/>
      <c r="B131" s="197"/>
      <c r="C131" s="197"/>
      <c r="D131" s="197"/>
      <c r="E131" s="197"/>
      <c r="F131" s="197" t="str">
        <f t="shared" si="2"/>
        <v/>
      </c>
      <c r="O131" s="197" t="str">
        <f t="shared" si="4"/>
        <v/>
      </c>
    </row>
    <row r="132">
      <c r="A132" s="197"/>
      <c r="B132" s="197"/>
      <c r="C132" s="197"/>
      <c r="D132" s="197"/>
      <c r="E132" s="197"/>
      <c r="F132" s="197" t="str">
        <f t="shared" si="2"/>
        <v/>
      </c>
      <c r="O132" s="197" t="str">
        <f t="shared" si="4"/>
        <v/>
      </c>
    </row>
    <row r="133">
      <c r="A133" s="197"/>
      <c r="B133" s="197"/>
      <c r="C133" s="197"/>
      <c r="D133" s="197"/>
      <c r="E133" s="197"/>
      <c r="F133" s="197" t="str">
        <f t="shared" si="2"/>
        <v/>
      </c>
      <c r="O133" s="197" t="str">
        <f t="shared" si="4"/>
        <v/>
      </c>
    </row>
    <row r="134">
      <c r="A134" s="197"/>
      <c r="B134" s="197"/>
      <c r="C134" s="197"/>
      <c r="D134" s="197"/>
      <c r="E134" s="197"/>
      <c r="F134" s="197" t="str">
        <f t="shared" si="2"/>
        <v/>
      </c>
      <c r="O134" s="197" t="str">
        <f t="shared" si="4"/>
        <v/>
      </c>
    </row>
    <row r="135">
      <c r="A135" s="197"/>
      <c r="B135" s="197"/>
      <c r="C135" s="197"/>
      <c r="D135" s="197"/>
      <c r="E135" s="197"/>
      <c r="F135" s="197" t="str">
        <f t="shared" si="2"/>
        <v/>
      </c>
      <c r="O135" s="197" t="str">
        <f t="shared" si="4"/>
        <v/>
      </c>
    </row>
    <row r="136">
      <c r="A136" s="197"/>
      <c r="B136" s="197"/>
      <c r="C136" s="197"/>
      <c r="D136" s="197"/>
      <c r="E136" s="197"/>
      <c r="F136" s="197" t="str">
        <f t="shared" si="2"/>
        <v/>
      </c>
      <c r="O136" s="197" t="str">
        <f t="shared" si="4"/>
        <v/>
      </c>
    </row>
    <row r="137">
      <c r="A137" s="197"/>
      <c r="B137" s="197"/>
      <c r="C137" s="197"/>
      <c r="D137" s="197"/>
      <c r="E137" s="197"/>
      <c r="F137" s="197" t="str">
        <f t="shared" si="2"/>
        <v/>
      </c>
      <c r="O137" s="197" t="str">
        <f t="shared" si="4"/>
        <v/>
      </c>
    </row>
    <row r="138">
      <c r="A138" s="197"/>
      <c r="B138" s="197"/>
      <c r="C138" s="197"/>
      <c r="D138" s="197"/>
      <c r="E138" s="197"/>
      <c r="F138" s="197" t="str">
        <f t="shared" si="2"/>
        <v/>
      </c>
      <c r="O138" s="197" t="str">
        <f t="shared" si="4"/>
        <v/>
      </c>
    </row>
    <row r="139">
      <c r="A139" s="197"/>
      <c r="B139" s="197"/>
      <c r="C139" s="197"/>
      <c r="D139" s="197"/>
      <c r="E139" s="197"/>
      <c r="F139" s="197" t="str">
        <f t="shared" si="2"/>
        <v/>
      </c>
      <c r="O139" s="197" t="str">
        <f t="shared" si="4"/>
        <v/>
      </c>
    </row>
    <row r="140">
      <c r="A140" s="197"/>
      <c r="B140" s="197"/>
      <c r="C140" s="197"/>
      <c r="D140" s="197"/>
      <c r="E140" s="197"/>
      <c r="F140" s="197" t="str">
        <f t="shared" si="2"/>
        <v/>
      </c>
      <c r="O140" s="197" t="str">
        <f t="shared" si="4"/>
        <v/>
      </c>
    </row>
    <row r="141">
      <c r="A141" s="197"/>
      <c r="B141" s="197"/>
      <c r="C141" s="197"/>
      <c r="D141" s="197"/>
      <c r="E141" s="197"/>
      <c r="F141" s="197" t="str">
        <f t="shared" si="2"/>
        <v/>
      </c>
      <c r="O141" s="197" t="str">
        <f t="shared" si="4"/>
        <v/>
      </c>
    </row>
    <row r="142">
      <c r="A142" s="197"/>
      <c r="B142" s="197"/>
      <c r="C142" s="197"/>
      <c r="D142" s="197"/>
      <c r="E142" s="197"/>
      <c r="F142" s="197" t="str">
        <f t="shared" si="2"/>
        <v/>
      </c>
      <c r="O142" s="197" t="str">
        <f t="shared" si="4"/>
        <v/>
      </c>
    </row>
    <row r="143">
      <c r="A143" s="197"/>
      <c r="B143" s="197"/>
      <c r="C143" s="197"/>
      <c r="D143" s="197"/>
      <c r="E143" s="197"/>
      <c r="F143" s="197" t="str">
        <f t="shared" si="2"/>
        <v/>
      </c>
      <c r="O143" s="197" t="str">
        <f t="shared" si="4"/>
        <v/>
      </c>
    </row>
    <row r="144">
      <c r="A144" s="197"/>
      <c r="B144" s="197"/>
      <c r="C144" s="197"/>
      <c r="D144" s="197"/>
      <c r="E144" s="197"/>
      <c r="F144" s="197" t="str">
        <f t="shared" si="2"/>
        <v/>
      </c>
      <c r="O144" s="197" t="str">
        <f t="shared" si="4"/>
        <v/>
      </c>
    </row>
    <row r="145">
      <c r="A145" s="197"/>
      <c r="B145" s="197"/>
      <c r="C145" s="197"/>
      <c r="D145" s="197"/>
      <c r="E145" s="197"/>
      <c r="F145" s="197" t="str">
        <f t="shared" si="2"/>
        <v/>
      </c>
      <c r="O145" s="197" t="str">
        <f t="shared" si="4"/>
        <v/>
      </c>
    </row>
    <row r="146">
      <c r="A146" s="197"/>
      <c r="B146" s="197"/>
      <c r="C146" s="197"/>
      <c r="D146" s="197"/>
      <c r="E146" s="197"/>
      <c r="F146" s="197" t="str">
        <f t="shared" si="2"/>
        <v/>
      </c>
      <c r="O146" s="197" t="str">
        <f t="shared" si="4"/>
        <v/>
      </c>
    </row>
    <row r="147">
      <c r="A147" s="197"/>
      <c r="B147" s="197"/>
      <c r="C147" s="197"/>
      <c r="D147" s="197"/>
      <c r="E147" s="197"/>
      <c r="F147" s="197" t="str">
        <f t="shared" si="2"/>
        <v/>
      </c>
      <c r="O147" s="197" t="str">
        <f t="shared" si="4"/>
        <v/>
      </c>
    </row>
    <row r="148">
      <c r="A148" s="197"/>
      <c r="B148" s="197"/>
      <c r="C148" s="197"/>
      <c r="D148" s="197"/>
      <c r="E148" s="197"/>
      <c r="F148" s="197" t="str">
        <f t="shared" si="2"/>
        <v/>
      </c>
      <c r="O148" s="197" t="str">
        <f t="shared" si="4"/>
        <v/>
      </c>
    </row>
    <row r="149">
      <c r="A149" s="197"/>
      <c r="B149" s="197"/>
      <c r="C149" s="197"/>
      <c r="D149" s="197"/>
      <c r="E149" s="197"/>
      <c r="F149" s="197" t="str">
        <f t="shared" si="2"/>
        <v/>
      </c>
      <c r="O149" s="197" t="str">
        <f t="shared" si="4"/>
        <v/>
      </c>
    </row>
    <row r="150">
      <c r="A150" s="197"/>
      <c r="B150" s="197"/>
      <c r="C150" s="197"/>
      <c r="D150" s="197"/>
      <c r="E150" s="197"/>
      <c r="F150" s="197" t="str">
        <f t="shared" si="2"/>
        <v/>
      </c>
      <c r="O150" s="197" t="str">
        <f t="shared" si="4"/>
        <v/>
      </c>
    </row>
    <row r="151">
      <c r="A151" s="197"/>
      <c r="B151" s="197"/>
      <c r="C151" s="197"/>
      <c r="D151" s="197"/>
      <c r="E151" s="197"/>
      <c r="F151" s="197" t="str">
        <f t="shared" si="2"/>
        <v/>
      </c>
      <c r="O151" s="197" t="str">
        <f t="shared" si="4"/>
        <v/>
      </c>
    </row>
    <row r="152">
      <c r="A152" s="197"/>
      <c r="B152" s="197"/>
      <c r="C152" s="197"/>
      <c r="D152" s="197"/>
      <c r="E152" s="197"/>
      <c r="F152" s="197" t="str">
        <f t="shared" si="2"/>
        <v/>
      </c>
      <c r="O152" s="197" t="str">
        <f t="shared" si="4"/>
        <v/>
      </c>
    </row>
    <row r="153">
      <c r="A153" s="197"/>
      <c r="B153" s="197"/>
      <c r="C153" s="197"/>
      <c r="D153" s="197"/>
      <c r="E153" s="197"/>
      <c r="F153" s="197" t="str">
        <f t="shared" si="2"/>
        <v/>
      </c>
      <c r="O153" s="197" t="str">
        <f t="shared" si="4"/>
        <v/>
      </c>
    </row>
    <row r="154">
      <c r="A154" s="197"/>
      <c r="B154" s="197"/>
      <c r="C154" s="197"/>
      <c r="D154" s="197"/>
      <c r="E154" s="197"/>
      <c r="F154" s="197" t="str">
        <f t="shared" si="2"/>
        <v/>
      </c>
      <c r="O154" s="197" t="str">
        <f t="shared" si="4"/>
        <v/>
      </c>
    </row>
    <row r="155">
      <c r="A155" s="197"/>
      <c r="B155" s="197"/>
      <c r="C155" s="197"/>
      <c r="D155" s="197"/>
      <c r="E155" s="197"/>
      <c r="F155" s="197" t="str">
        <f t="shared" si="2"/>
        <v/>
      </c>
      <c r="O155" s="197" t="str">
        <f t="shared" si="4"/>
        <v/>
      </c>
    </row>
    <row r="156">
      <c r="A156" s="197"/>
      <c r="B156" s="197"/>
      <c r="C156" s="197"/>
      <c r="D156" s="197"/>
      <c r="E156" s="197"/>
      <c r="F156" s="197" t="str">
        <f t="shared" si="2"/>
        <v/>
      </c>
      <c r="O156" s="197" t="str">
        <f t="shared" si="4"/>
        <v/>
      </c>
    </row>
    <row r="157">
      <c r="A157" s="197"/>
      <c r="B157" s="197"/>
      <c r="C157" s="197"/>
      <c r="D157" s="197"/>
      <c r="E157" s="197"/>
      <c r="F157" s="197" t="str">
        <f t="shared" si="2"/>
        <v/>
      </c>
      <c r="O157" s="197" t="str">
        <f t="shared" si="4"/>
        <v/>
      </c>
    </row>
    <row r="158">
      <c r="A158" s="197"/>
      <c r="B158" s="197"/>
      <c r="C158" s="197"/>
      <c r="D158" s="197"/>
      <c r="E158" s="197"/>
      <c r="F158" s="197" t="str">
        <f t="shared" si="2"/>
        <v/>
      </c>
      <c r="O158" s="197" t="str">
        <f t="shared" si="4"/>
        <v/>
      </c>
    </row>
    <row r="159">
      <c r="A159" s="197"/>
      <c r="B159" s="197"/>
      <c r="C159" s="197"/>
      <c r="D159" s="197"/>
      <c r="E159" s="197"/>
      <c r="F159" s="197" t="str">
        <f t="shared" si="2"/>
        <v/>
      </c>
      <c r="O159" s="197" t="str">
        <f t="shared" si="4"/>
        <v/>
      </c>
    </row>
    <row r="160">
      <c r="A160" s="197"/>
      <c r="B160" s="197"/>
      <c r="C160" s="197"/>
      <c r="D160" s="197"/>
      <c r="E160" s="197"/>
      <c r="F160" s="197" t="str">
        <f t="shared" si="2"/>
        <v/>
      </c>
      <c r="O160" s="197" t="str">
        <f t="shared" si="4"/>
        <v/>
      </c>
    </row>
    <row r="161">
      <c r="A161" s="197"/>
      <c r="B161" s="197"/>
      <c r="C161" s="197"/>
      <c r="D161" s="197"/>
      <c r="E161" s="197"/>
      <c r="F161" s="197" t="str">
        <f t="shared" si="2"/>
        <v/>
      </c>
      <c r="O161" s="197" t="str">
        <f t="shared" si="4"/>
        <v/>
      </c>
    </row>
    <row r="162">
      <c r="A162" s="197"/>
      <c r="B162" s="197"/>
      <c r="C162" s="197"/>
      <c r="D162" s="197"/>
      <c r="E162" s="197"/>
      <c r="F162" s="197" t="str">
        <f t="shared" si="2"/>
        <v/>
      </c>
      <c r="O162" s="197" t="str">
        <f t="shared" si="4"/>
        <v/>
      </c>
    </row>
    <row r="163">
      <c r="A163" s="197"/>
      <c r="B163" s="197"/>
      <c r="C163" s="197"/>
      <c r="D163" s="197"/>
      <c r="E163" s="197"/>
      <c r="F163" s="197" t="str">
        <f t="shared" si="2"/>
        <v/>
      </c>
      <c r="O163" s="197" t="str">
        <f t="shared" si="4"/>
        <v/>
      </c>
    </row>
    <row r="164">
      <c r="A164" s="197"/>
      <c r="B164" s="197"/>
      <c r="C164" s="197"/>
      <c r="D164" s="197"/>
      <c r="E164" s="197"/>
      <c r="F164" s="197" t="str">
        <f t="shared" si="2"/>
        <v/>
      </c>
      <c r="O164" s="197" t="str">
        <f t="shared" si="4"/>
        <v/>
      </c>
    </row>
    <row r="165">
      <c r="A165" s="197"/>
      <c r="B165" s="197"/>
      <c r="C165" s="197"/>
      <c r="D165" s="197"/>
      <c r="E165" s="197"/>
      <c r="F165" s="197" t="str">
        <f t="shared" si="2"/>
        <v/>
      </c>
      <c r="O165" s="197" t="str">
        <f t="shared" si="4"/>
        <v/>
      </c>
    </row>
    <row r="166">
      <c r="A166" s="197"/>
      <c r="B166" s="197"/>
      <c r="C166" s="197"/>
      <c r="D166" s="197"/>
      <c r="E166" s="197"/>
      <c r="F166" s="197" t="str">
        <f t="shared" si="2"/>
        <v/>
      </c>
      <c r="O166" s="197" t="str">
        <f t="shared" si="4"/>
        <v/>
      </c>
    </row>
    <row r="167">
      <c r="A167" s="197"/>
      <c r="B167" s="197"/>
      <c r="C167" s="197"/>
      <c r="D167" s="197"/>
      <c r="E167" s="197"/>
      <c r="F167" s="197" t="str">
        <f t="shared" si="2"/>
        <v/>
      </c>
      <c r="O167" s="197" t="str">
        <f t="shared" si="4"/>
        <v/>
      </c>
    </row>
    <row r="168">
      <c r="A168" s="197"/>
      <c r="B168" s="197"/>
      <c r="C168" s="197"/>
      <c r="D168" s="197"/>
      <c r="E168" s="197"/>
      <c r="F168" s="197" t="str">
        <f t="shared" si="2"/>
        <v/>
      </c>
      <c r="O168" s="197" t="str">
        <f t="shared" si="4"/>
        <v/>
      </c>
    </row>
    <row r="169">
      <c r="A169" s="197"/>
      <c r="B169" s="197"/>
      <c r="C169" s="197"/>
      <c r="D169" s="197"/>
      <c r="E169" s="197"/>
      <c r="F169" s="197" t="str">
        <f t="shared" si="2"/>
        <v/>
      </c>
      <c r="O169" s="197" t="str">
        <f t="shared" si="4"/>
        <v/>
      </c>
    </row>
    <row r="170">
      <c r="A170" s="197"/>
      <c r="B170" s="197"/>
      <c r="C170" s="197"/>
      <c r="D170" s="197"/>
      <c r="E170" s="197"/>
      <c r="F170" s="197" t="str">
        <f t="shared" si="2"/>
        <v/>
      </c>
      <c r="O170" s="197" t="str">
        <f t="shared" si="4"/>
        <v/>
      </c>
    </row>
    <row r="171">
      <c r="A171" s="197"/>
      <c r="B171" s="197"/>
      <c r="C171" s="197"/>
      <c r="D171" s="197"/>
      <c r="E171" s="197"/>
      <c r="F171" s="197" t="str">
        <f t="shared" si="2"/>
        <v/>
      </c>
    </row>
    <row r="172">
      <c r="A172" s="197"/>
      <c r="B172" s="197"/>
      <c r="C172" s="197"/>
      <c r="D172" s="197"/>
      <c r="E172" s="197"/>
      <c r="F172" s="197" t="str">
        <f t="shared" si="2"/>
        <v/>
      </c>
    </row>
    <row r="173">
      <c r="A173" s="197"/>
      <c r="B173" s="197"/>
      <c r="C173" s="197"/>
      <c r="D173" s="197"/>
      <c r="E173" s="197"/>
      <c r="F173" s="197" t="str">
        <f t="shared" si="2"/>
        <v/>
      </c>
    </row>
    <row r="174">
      <c r="A174" s="197"/>
      <c r="B174" s="197"/>
      <c r="C174" s="197"/>
      <c r="D174" s="197"/>
      <c r="E174" s="197"/>
      <c r="F174" s="197" t="str">
        <f t="shared" si="2"/>
        <v/>
      </c>
    </row>
    <row r="175">
      <c r="A175" s="197"/>
      <c r="B175" s="197"/>
      <c r="C175" s="197"/>
      <c r="D175" s="197"/>
      <c r="E175" s="197"/>
      <c r="F175" s="197" t="str">
        <f t="shared" si="2"/>
        <v/>
      </c>
    </row>
    <row r="176">
      <c r="A176" s="197"/>
      <c r="B176" s="197"/>
      <c r="C176" s="197"/>
      <c r="D176" s="197"/>
      <c r="E176" s="197"/>
      <c r="F176" s="197" t="str">
        <f t="shared" si="2"/>
        <v/>
      </c>
    </row>
    <row r="177">
      <c r="A177" s="197"/>
      <c r="B177" s="197"/>
      <c r="C177" s="197"/>
      <c r="D177" s="197"/>
      <c r="E177" s="197"/>
      <c r="F177" s="197" t="str">
        <f t="shared" si="2"/>
        <v/>
      </c>
    </row>
    <row r="178">
      <c r="A178" s="197"/>
      <c r="B178" s="197"/>
      <c r="C178" s="197"/>
      <c r="D178" s="197"/>
      <c r="E178" s="197"/>
      <c r="F178" s="197" t="str">
        <f t="shared" si="2"/>
        <v/>
      </c>
    </row>
    <row r="179">
      <c r="A179" s="197"/>
      <c r="B179" s="197"/>
      <c r="C179" s="197"/>
      <c r="D179" s="197"/>
      <c r="E179" s="197"/>
      <c r="F179" s="197" t="str">
        <f t="shared" si="2"/>
        <v/>
      </c>
    </row>
    <row r="180">
      <c r="A180" s="197"/>
      <c r="B180" s="197"/>
      <c r="C180" s="197"/>
      <c r="D180" s="197"/>
      <c r="E180" s="197"/>
      <c r="F180" s="197" t="str">
        <f t="shared" si="2"/>
        <v/>
      </c>
    </row>
    <row r="181">
      <c r="A181" s="197"/>
      <c r="B181" s="197"/>
      <c r="C181" s="197"/>
      <c r="D181" s="197"/>
      <c r="E181" s="197"/>
      <c r="F181" s="197" t="str">
        <f t="shared" si="2"/>
        <v/>
      </c>
    </row>
    <row r="182">
      <c r="A182" s="197"/>
      <c r="B182" s="197"/>
      <c r="C182" s="197"/>
      <c r="D182" s="197"/>
      <c r="E182" s="197"/>
      <c r="F182" s="197" t="str">
        <f t="shared" si="2"/>
        <v/>
      </c>
    </row>
    <row r="183">
      <c r="A183" s="197"/>
      <c r="B183" s="197"/>
      <c r="C183" s="197"/>
      <c r="D183" s="197"/>
      <c r="E183" s="197"/>
      <c r="F183" s="197" t="str">
        <f t="shared" si="2"/>
        <v/>
      </c>
    </row>
    <row r="184">
      <c r="A184" s="197"/>
      <c r="B184" s="197"/>
      <c r="C184" s="197"/>
      <c r="D184" s="197"/>
      <c r="E184" s="197"/>
      <c r="F184" s="197" t="str">
        <f t="shared" si="2"/>
        <v/>
      </c>
    </row>
    <row r="185">
      <c r="A185" s="197"/>
      <c r="B185" s="197"/>
      <c r="C185" s="197"/>
      <c r="D185" s="197"/>
      <c r="E185" s="197"/>
      <c r="F185" s="197" t="str">
        <f t="shared" si="2"/>
        <v/>
      </c>
    </row>
    <row r="186">
      <c r="A186" s="197"/>
      <c r="B186" s="197"/>
      <c r="C186" s="197"/>
      <c r="D186" s="197"/>
      <c r="E186" s="197"/>
      <c r="F186" s="197" t="str">
        <f t="shared" si="2"/>
        <v/>
      </c>
    </row>
    <row r="187">
      <c r="A187" s="197"/>
      <c r="B187" s="197"/>
      <c r="C187" s="197"/>
      <c r="D187" s="197"/>
      <c r="E187" s="197"/>
      <c r="F187" s="197" t="str">
        <f t="shared" si="2"/>
        <v/>
      </c>
    </row>
    <row r="188">
      <c r="A188" s="197"/>
      <c r="B188" s="197"/>
      <c r="C188" s="197"/>
      <c r="D188" s="197"/>
      <c r="E188" s="197"/>
      <c r="F188" s="197" t="str">
        <f t="shared" si="2"/>
        <v/>
      </c>
    </row>
    <row r="189">
      <c r="A189" s="197"/>
      <c r="B189" s="197"/>
      <c r="C189" s="197"/>
      <c r="D189" s="197"/>
      <c r="E189" s="197"/>
      <c r="F189" s="197" t="str">
        <f t="shared" si="2"/>
        <v/>
      </c>
    </row>
    <row r="190">
      <c r="A190" s="197"/>
      <c r="B190" s="197"/>
      <c r="C190" s="197"/>
      <c r="D190" s="197"/>
      <c r="E190" s="197"/>
      <c r="F190" s="197" t="str">
        <f t="shared" si="2"/>
        <v/>
      </c>
    </row>
    <row r="191">
      <c r="A191" s="197"/>
      <c r="B191" s="197"/>
      <c r="C191" s="197"/>
      <c r="D191" s="197"/>
      <c r="E191" s="197"/>
      <c r="F191" s="197" t="str">
        <f t="shared" si="2"/>
        <v/>
      </c>
    </row>
    <row r="192">
      <c r="A192" s="197"/>
      <c r="B192" s="197"/>
      <c r="C192" s="197"/>
      <c r="D192" s="197"/>
      <c r="E192" s="197"/>
      <c r="F192" s="197" t="str">
        <f t="shared" si="2"/>
        <v/>
      </c>
    </row>
    <row r="193">
      <c r="A193" s="197"/>
      <c r="B193" s="197"/>
      <c r="C193" s="197"/>
      <c r="D193" s="197"/>
      <c r="E193" s="197"/>
      <c r="F193" s="197" t="str">
        <f t="shared" si="2"/>
        <v/>
      </c>
    </row>
    <row r="194">
      <c r="F194" s="197" t="str">
        <f t="shared" si="2"/>
        <v/>
      </c>
    </row>
    <row r="195">
      <c r="F195" s="197" t="str">
        <f t="shared" si="2"/>
        <v/>
      </c>
    </row>
    <row r="196">
      <c r="F196" s="197" t="str">
        <f t="shared" si="2"/>
        <v/>
      </c>
    </row>
    <row r="197">
      <c r="F197" s="197" t="str">
        <f t="shared" si="2"/>
        <v/>
      </c>
    </row>
    <row r="198">
      <c r="F198" s="197" t="str">
        <f t="shared" si="2"/>
        <v/>
      </c>
    </row>
    <row r="199">
      <c r="F199" s="197" t="str">
        <f t="shared" si="2"/>
        <v/>
      </c>
    </row>
    <row r="200">
      <c r="F200" s="197" t="str">
        <f t="shared" si="2"/>
        <v/>
      </c>
    </row>
    <row r="201">
      <c r="F201" s="197" t="str">
        <f t="shared" si="2"/>
        <v/>
      </c>
    </row>
    <row r="202">
      <c r="F202" s="197" t="str">
        <f t="shared" si="2"/>
        <v/>
      </c>
    </row>
    <row r="203">
      <c r="F203" s="197" t="str">
        <f t="shared" si="2"/>
        <v/>
      </c>
    </row>
    <row r="204">
      <c r="F204" s="197" t="str">
        <f t="shared" si="2"/>
        <v/>
      </c>
    </row>
    <row r="205">
      <c r="F205" s="197" t="str">
        <f t="shared" si="2"/>
        <v/>
      </c>
    </row>
    <row r="206">
      <c r="F206" s="197" t="str">
        <f t="shared" si="2"/>
        <v/>
      </c>
    </row>
    <row r="207">
      <c r="F207" s="197" t="str">
        <f t="shared" si="2"/>
        <v/>
      </c>
    </row>
    <row r="208">
      <c r="F208" s="197" t="str">
        <f t="shared" si="2"/>
        <v/>
      </c>
    </row>
    <row r="209">
      <c r="F209" s="197" t="str">
        <f t="shared" si="2"/>
        <v/>
      </c>
    </row>
    <row r="210">
      <c r="F210" s="197" t="str">
        <f t="shared" si="2"/>
        <v/>
      </c>
    </row>
    <row r="211">
      <c r="F211" s="197" t="str">
        <f t="shared" si="2"/>
        <v/>
      </c>
    </row>
    <row r="212">
      <c r="F212" s="197" t="str">
        <f t="shared" si="2"/>
        <v/>
      </c>
    </row>
    <row r="213">
      <c r="F213" s="197" t="str">
        <f t="shared" si="2"/>
        <v/>
      </c>
    </row>
    <row r="214">
      <c r="F214" s="197" t="str">
        <f t="shared" si="2"/>
        <v/>
      </c>
    </row>
    <row r="215">
      <c r="F215" s="197" t="str">
        <f t="shared" si="2"/>
        <v/>
      </c>
    </row>
    <row r="216">
      <c r="F216" s="197" t="str">
        <f t="shared" si="2"/>
        <v/>
      </c>
    </row>
    <row r="217">
      <c r="F217" s="197" t="str">
        <f t="shared" si="2"/>
        <v/>
      </c>
    </row>
    <row r="218">
      <c r="F218" s="197" t="str">
        <f t="shared" si="2"/>
        <v/>
      </c>
    </row>
    <row r="219">
      <c r="F219" s="197" t="str">
        <f t="shared" si="2"/>
        <v/>
      </c>
    </row>
    <row r="220">
      <c r="F220" s="197" t="str">
        <f t="shared" si="2"/>
        <v/>
      </c>
    </row>
    <row r="221">
      <c r="F221" s="197" t="str">
        <f t="shared" si="2"/>
        <v/>
      </c>
    </row>
    <row r="222">
      <c r="F222" s="197" t="str">
        <f t="shared" si="2"/>
        <v/>
      </c>
    </row>
    <row r="223">
      <c r="F223" s="197" t="str">
        <f t="shared" si="2"/>
        <v/>
      </c>
    </row>
    <row r="224">
      <c r="F224" s="197" t="str">
        <f t="shared" si="2"/>
        <v/>
      </c>
    </row>
    <row r="225">
      <c r="F225" s="197" t="str">
        <f t="shared" si="2"/>
        <v/>
      </c>
    </row>
    <row r="226">
      <c r="F226" s="197" t="str">
        <f t="shared" si="2"/>
        <v/>
      </c>
    </row>
    <row r="227">
      <c r="F227" s="197" t="str">
        <f t="shared" si="2"/>
        <v/>
      </c>
    </row>
    <row r="228">
      <c r="F228" s="197" t="str">
        <f t="shared" si="2"/>
        <v/>
      </c>
    </row>
    <row r="229">
      <c r="F229" s="197" t="str">
        <f t="shared" si="2"/>
        <v/>
      </c>
    </row>
    <row r="230">
      <c r="F230" s="197" t="str">
        <f t="shared" si="2"/>
        <v/>
      </c>
    </row>
    <row r="231">
      <c r="F231" s="197" t="str">
        <f t="shared" si="2"/>
        <v/>
      </c>
    </row>
    <row r="232">
      <c r="F232" s="197" t="str">
        <f t="shared" si="2"/>
        <v/>
      </c>
    </row>
    <row r="233">
      <c r="F233" s="197" t="str">
        <f t="shared" si="2"/>
        <v/>
      </c>
    </row>
    <row r="234">
      <c r="F234" s="197" t="str">
        <f t="shared" si="2"/>
        <v/>
      </c>
    </row>
    <row r="235">
      <c r="F235" s="197" t="str">
        <f t="shared" si="2"/>
        <v/>
      </c>
    </row>
    <row r="236">
      <c r="F236" s="197" t="str">
        <f t="shared" si="2"/>
        <v/>
      </c>
    </row>
    <row r="237">
      <c r="F237" s="197" t="str">
        <f t="shared" si="2"/>
        <v/>
      </c>
    </row>
    <row r="238">
      <c r="F238" s="197" t="str">
        <f t="shared" si="2"/>
        <v/>
      </c>
    </row>
    <row r="239">
      <c r="F239" s="197" t="str">
        <f t="shared" si="2"/>
        <v/>
      </c>
    </row>
    <row r="240">
      <c r="F240" s="197" t="str">
        <f t="shared" si="2"/>
        <v/>
      </c>
    </row>
    <row r="241">
      <c r="F241" s="197" t="str">
        <f t="shared" si="2"/>
        <v/>
      </c>
    </row>
    <row r="242">
      <c r="F242" s="197" t="str">
        <f t="shared" si="2"/>
        <v/>
      </c>
    </row>
    <row r="243">
      <c r="F243" s="197" t="str">
        <f t="shared" si="2"/>
        <v/>
      </c>
    </row>
    <row r="244">
      <c r="F244" s="197" t="str">
        <f t="shared" si="2"/>
        <v/>
      </c>
    </row>
    <row r="245">
      <c r="F245" s="197" t="str">
        <f t="shared" si="2"/>
        <v/>
      </c>
    </row>
    <row r="246">
      <c r="F246" s="197" t="str">
        <f t="shared" si="2"/>
        <v/>
      </c>
    </row>
    <row r="247">
      <c r="F247" s="197" t="str">
        <f t="shared" si="2"/>
        <v/>
      </c>
    </row>
    <row r="248">
      <c r="F248" s="197" t="str">
        <f t="shared" si="2"/>
        <v/>
      </c>
    </row>
    <row r="249">
      <c r="F249" s="197" t="str">
        <f t="shared" si="2"/>
        <v/>
      </c>
    </row>
    <row r="250">
      <c r="F250" s="197" t="str">
        <f t="shared" si="2"/>
        <v/>
      </c>
    </row>
    <row r="251">
      <c r="F251" s="197" t="str">
        <f t="shared" si="2"/>
        <v/>
      </c>
    </row>
    <row r="252">
      <c r="F252" s="197" t="str">
        <f t="shared" si="2"/>
        <v/>
      </c>
    </row>
    <row r="253">
      <c r="F253" s="197" t="str">
        <f t="shared" si="2"/>
        <v/>
      </c>
    </row>
    <row r="254">
      <c r="F254" s="197" t="str">
        <f t="shared" si="2"/>
        <v/>
      </c>
    </row>
    <row r="255">
      <c r="F255" s="197" t="str">
        <f t="shared" si="2"/>
        <v/>
      </c>
    </row>
    <row r="256">
      <c r="F256" s="197" t="str">
        <f t="shared" si="2"/>
        <v/>
      </c>
    </row>
    <row r="257">
      <c r="F257" s="197" t="str">
        <f t="shared" si="2"/>
        <v/>
      </c>
    </row>
    <row r="258">
      <c r="F258" s="197" t="str">
        <f t="shared" si="2"/>
        <v/>
      </c>
    </row>
    <row r="259">
      <c r="F259" s="197" t="str">
        <f t="shared" si="2"/>
        <v/>
      </c>
    </row>
    <row r="260">
      <c r="F260" s="197" t="str">
        <f t="shared" si="2"/>
        <v/>
      </c>
    </row>
    <row r="261">
      <c r="F261" s="197" t="str">
        <f t="shared" si="2"/>
        <v/>
      </c>
    </row>
    <row r="262">
      <c r="F262" s="197" t="str">
        <f t="shared" si="2"/>
        <v/>
      </c>
    </row>
    <row r="263">
      <c r="F263" s="197" t="str">
        <f t="shared" si="2"/>
        <v/>
      </c>
    </row>
    <row r="264">
      <c r="F264" s="197" t="str">
        <f t="shared" si="2"/>
        <v/>
      </c>
    </row>
    <row r="265">
      <c r="F265" s="197" t="str">
        <f t="shared" si="2"/>
        <v/>
      </c>
    </row>
    <row r="266">
      <c r="F266" s="197" t="str">
        <f t="shared" si="2"/>
        <v/>
      </c>
    </row>
    <row r="267">
      <c r="F267" s="197" t="str">
        <f t="shared" si="2"/>
        <v/>
      </c>
    </row>
    <row r="268">
      <c r="F268" s="197" t="str">
        <f t="shared" si="2"/>
        <v/>
      </c>
    </row>
    <row r="269">
      <c r="F269" s="197" t="str">
        <f t="shared" si="2"/>
        <v/>
      </c>
    </row>
    <row r="270">
      <c r="F270" s="197" t="str">
        <f t="shared" si="2"/>
        <v/>
      </c>
    </row>
    <row r="271">
      <c r="F271" s="197" t="str">
        <f t="shared" si="2"/>
        <v/>
      </c>
    </row>
    <row r="272">
      <c r="F272" s="197" t="str">
        <f t="shared" si="2"/>
        <v/>
      </c>
    </row>
    <row r="273">
      <c r="F273" s="197" t="str">
        <f t="shared" si="2"/>
        <v/>
      </c>
    </row>
    <row r="274">
      <c r="F274" s="197" t="str">
        <f t="shared" si="2"/>
        <v/>
      </c>
    </row>
    <row r="275">
      <c r="F275" s="197" t="str">
        <f t="shared" si="2"/>
        <v/>
      </c>
    </row>
    <row r="276">
      <c r="F276" s="197" t="str">
        <f t="shared" si="2"/>
        <v/>
      </c>
    </row>
    <row r="277">
      <c r="F277" s="197" t="str">
        <f t="shared" si="2"/>
        <v/>
      </c>
    </row>
    <row r="278">
      <c r="F278" s="197" t="str">
        <f t="shared" si="2"/>
        <v/>
      </c>
    </row>
    <row r="279">
      <c r="F279" s="197" t="str">
        <f t="shared" si="2"/>
        <v/>
      </c>
    </row>
    <row r="280">
      <c r="F280" s="197" t="str">
        <f t="shared" si="2"/>
        <v/>
      </c>
    </row>
    <row r="281">
      <c r="F281" s="197" t="str">
        <f t="shared" si="2"/>
        <v/>
      </c>
    </row>
    <row r="282">
      <c r="F282" s="197" t="str">
        <f t="shared" si="2"/>
        <v/>
      </c>
    </row>
    <row r="283">
      <c r="F283" s="197" t="str">
        <f t="shared" si="2"/>
        <v/>
      </c>
    </row>
    <row r="284">
      <c r="F284" s="197" t="str">
        <f t="shared" si="2"/>
        <v/>
      </c>
    </row>
    <row r="285">
      <c r="F285" s="197" t="str">
        <f t="shared" si="2"/>
        <v/>
      </c>
    </row>
    <row r="286">
      <c r="F286" s="197" t="str">
        <f t="shared" si="2"/>
        <v/>
      </c>
    </row>
    <row r="287">
      <c r="F287" s="197" t="str">
        <f t="shared" si="2"/>
        <v/>
      </c>
    </row>
    <row r="288">
      <c r="F288" s="197" t="str">
        <f t="shared" si="2"/>
        <v/>
      </c>
    </row>
    <row r="289">
      <c r="F289" s="197" t="str">
        <f t="shared" si="2"/>
        <v/>
      </c>
    </row>
    <row r="290">
      <c r="F290" s="197" t="str">
        <f t="shared" si="2"/>
        <v/>
      </c>
    </row>
    <row r="291">
      <c r="F291" s="197" t="str">
        <f t="shared" si="2"/>
        <v/>
      </c>
    </row>
    <row r="292">
      <c r="F292" s="197" t="str">
        <f t="shared" si="2"/>
        <v/>
      </c>
    </row>
    <row r="293">
      <c r="F293" s="197" t="str">
        <f t="shared" si="2"/>
        <v/>
      </c>
    </row>
    <row r="294">
      <c r="F294" s="197" t="str">
        <f t="shared" si="2"/>
        <v/>
      </c>
    </row>
    <row r="295">
      <c r="F295" s="197" t="str">
        <f t="shared" si="2"/>
        <v/>
      </c>
    </row>
    <row r="296">
      <c r="F296" s="197" t="str">
        <f t="shared" si="2"/>
        <v/>
      </c>
    </row>
    <row r="297">
      <c r="F297" s="197" t="str">
        <f t="shared" si="2"/>
        <v/>
      </c>
    </row>
    <row r="298">
      <c r="F298" s="197" t="str">
        <f t="shared" si="2"/>
        <v/>
      </c>
    </row>
    <row r="299">
      <c r="F299" s="197" t="str">
        <f t="shared" si="2"/>
        <v/>
      </c>
    </row>
    <row r="300">
      <c r="F300" s="197" t="str">
        <f t="shared" si="2"/>
        <v/>
      </c>
    </row>
    <row r="301">
      <c r="F301" s="197" t="str">
        <f t="shared" si="2"/>
        <v/>
      </c>
    </row>
    <row r="302">
      <c r="F302" s="197" t="str">
        <f t="shared" si="2"/>
        <v/>
      </c>
    </row>
    <row r="303">
      <c r="F303" s="197" t="str">
        <f t="shared" si="2"/>
        <v/>
      </c>
    </row>
    <row r="304">
      <c r="F304" s="197" t="str">
        <f t="shared" si="2"/>
        <v/>
      </c>
    </row>
    <row r="305">
      <c r="F305" s="197" t="str">
        <f t="shared" si="2"/>
        <v/>
      </c>
    </row>
    <row r="306">
      <c r="F306" s="197" t="str">
        <f t="shared" si="2"/>
        <v/>
      </c>
    </row>
    <row r="307">
      <c r="F307" s="197" t="str">
        <f t="shared" si="2"/>
        <v/>
      </c>
    </row>
    <row r="308">
      <c r="F308" s="197" t="str">
        <f t="shared" si="2"/>
        <v/>
      </c>
    </row>
    <row r="309">
      <c r="F309" s="197" t="str">
        <f t="shared" si="2"/>
        <v/>
      </c>
    </row>
    <row r="310">
      <c r="F310" s="197" t="str">
        <f t="shared" si="2"/>
        <v/>
      </c>
    </row>
    <row r="311">
      <c r="F311" s="197" t="str">
        <f t="shared" si="2"/>
        <v/>
      </c>
    </row>
    <row r="312">
      <c r="F312" s="197" t="str">
        <f t="shared" si="2"/>
        <v/>
      </c>
    </row>
    <row r="313">
      <c r="F313" s="197" t="str">
        <f t="shared" si="2"/>
        <v/>
      </c>
    </row>
    <row r="314">
      <c r="F314" s="197" t="str">
        <f t="shared" si="2"/>
        <v/>
      </c>
    </row>
    <row r="315">
      <c r="F315" s="197" t="str">
        <f t="shared" si="2"/>
        <v/>
      </c>
    </row>
    <row r="316">
      <c r="F316" s="197" t="str">
        <f t="shared" si="2"/>
        <v/>
      </c>
    </row>
    <row r="317">
      <c r="F317" s="197" t="str">
        <f t="shared" si="2"/>
        <v/>
      </c>
    </row>
    <row r="318">
      <c r="F318" s="197" t="str">
        <f t="shared" si="2"/>
        <v/>
      </c>
    </row>
    <row r="319">
      <c r="F319" s="197" t="str">
        <f t="shared" si="2"/>
        <v/>
      </c>
    </row>
    <row r="320">
      <c r="F320" s="197" t="str">
        <f t="shared" si="2"/>
        <v/>
      </c>
    </row>
    <row r="321">
      <c r="F321" s="197" t="str">
        <f t="shared" si="2"/>
        <v/>
      </c>
    </row>
    <row r="322">
      <c r="F322" s="197" t="str">
        <f t="shared" si="2"/>
        <v/>
      </c>
    </row>
    <row r="323">
      <c r="F323" s="197" t="str">
        <f t="shared" si="2"/>
        <v/>
      </c>
    </row>
    <row r="324">
      <c r="F324" s="197" t="str">
        <f t="shared" si="2"/>
        <v/>
      </c>
    </row>
    <row r="325">
      <c r="F325" s="197" t="str">
        <f t="shared" si="2"/>
        <v/>
      </c>
    </row>
    <row r="326">
      <c r="F326" s="197" t="str">
        <f t="shared" si="2"/>
        <v/>
      </c>
    </row>
    <row r="327">
      <c r="F327" s="197" t="str">
        <f t="shared" si="2"/>
        <v/>
      </c>
    </row>
    <row r="328">
      <c r="F328" s="197" t="str">
        <f t="shared" si="2"/>
        <v/>
      </c>
    </row>
    <row r="329">
      <c r="F329" s="197" t="str">
        <f t="shared" si="2"/>
        <v/>
      </c>
    </row>
    <row r="330">
      <c r="F330" s="197" t="str">
        <f t="shared" si="2"/>
        <v/>
      </c>
    </row>
    <row r="331">
      <c r="F331" s="197" t="str">
        <f t="shared" si="2"/>
        <v/>
      </c>
    </row>
    <row r="332">
      <c r="F332" s="197" t="str">
        <f t="shared" si="2"/>
        <v/>
      </c>
    </row>
    <row r="333">
      <c r="F333" s="197" t="str">
        <f t="shared" si="2"/>
        <v/>
      </c>
    </row>
    <row r="334">
      <c r="F334" s="197" t="str">
        <f t="shared" si="2"/>
        <v/>
      </c>
    </row>
    <row r="335">
      <c r="F335" s="197" t="str">
        <f t="shared" si="2"/>
        <v/>
      </c>
    </row>
    <row r="336">
      <c r="F336" s="197" t="str">
        <f t="shared" si="2"/>
        <v/>
      </c>
    </row>
    <row r="337">
      <c r="F337" s="197" t="str">
        <f t="shared" si="2"/>
        <v/>
      </c>
    </row>
    <row r="338">
      <c r="F338" s="197" t="str">
        <f t="shared" si="2"/>
        <v/>
      </c>
    </row>
    <row r="339">
      <c r="F339" s="197" t="str">
        <f t="shared" si="2"/>
        <v/>
      </c>
    </row>
    <row r="340">
      <c r="F340" s="197" t="str">
        <f t="shared" si="2"/>
        <v/>
      </c>
    </row>
    <row r="341">
      <c r="F341" s="197" t="str">
        <f t="shared" si="2"/>
        <v/>
      </c>
    </row>
    <row r="342">
      <c r="F342" s="197" t="str">
        <f t="shared" si="2"/>
        <v/>
      </c>
    </row>
    <row r="343">
      <c r="F343" s="197" t="str">
        <f t="shared" si="2"/>
        <v/>
      </c>
    </row>
    <row r="344">
      <c r="F344" s="197" t="str">
        <f t="shared" si="2"/>
        <v/>
      </c>
    </row>
    <row r="345">
      <c r="F345" s="197" t="str">
        <f t="shared" si="2"/>
        <v/>
      </c>
    </row>
    <row r="346">
      <c r="F346" s="197" t="str">
        <f t="shared" si="2"/>
        <v/>
      </c>
    </row>
    <row r="347">
      <c r="F347" s="197" t="str">
        <f t="shared" si="2"/>
        <v/>
      </c>
    </row>
    <row r="348">
      <c r="F348" s="197" t="str">
        <f t="shared" si="2"/>
        <v/>
      </c>
    </row>
    <row r="349">
      <c r="F349" s="197" t="str">
        <f t="shared" si="2"/>
        <v/>
      </c>
    </row>
    <row r="350">
      <c r="F350" s="197" t="str">
        <f t="shared" si="2"/>
        <v/>
      </c>
    </row>
    <row r="351">
      <c r="F351" s="197" t="str">
        <f t="shared" si="2"/>
        <v/>
      </c>
    </row>
    <row r="352">
      <c r="F352" s="197" t="str">
        <f t="shared" si="2"/>
        <v/>
      </c>
    </row>
    <row r="353">
      <c r="F353" s="197" t="str">
        <f t="shared" si="2"/>
        <v/>
      </c>
    </row>
    <row r="354">
      <c r="F354" s="197" t="str">
        <f t="shared" si="2"/>
        <v/>
      </c>
    </row>
    <row r="355">
      <c r="F355" s="197" t="str">
        <f t="shared" si="2"/>
        <v/>
      </c>
    </row>
    <row r="356">
      <c r="F356" s="197" t="str">
        <f t="shared" si="2"/>
        <v/>
      </c>
    </row>
    <row r="357">
      <c r="F357" s="197" t="str">
        <f t="shared" si="2"/>
        <v/>
      </c>
    </row>
    <row r="358">
      <c r="F358" s="197" t="str">
        <f t="shared" si="2"/>
        <v/>
      </c>
    </row>
    <row r="359">
      <c r="F359" s="197" t="str">
        <f t="shared" si="2"/>
        <v/>
      </c>
    </row>
    <row r="360">
      <c r="F360" s="197" t="str">
        <f t="shared" si="2"/>
        <v/>
      </c>
    </row>
    <row r="361">
      <c r="F361" s="197" t="str">
        <f t="shared" si="2"/>
        <v/>
      </c>
    </row>
    <row r="362">
      <c r="F362" s="197" t="str">
        <f t="shared" si="2"/>
        <v/>
      </c>
    </row>
    <row r="363">
      <c r="F363" s="197" t="str">
        <f t="shared" si="2"/>
        <v/>
      </c>
    </row>
    <row r="364">
      <c r="F364" s="197" t="str">
        <f t="shared" si="2"/>
        <v/>
      </c>
    </row>
    <row r="365">
      <c r="F365" s="197" t="str">
        <f t="shared" si="2"/>
        <v/>
      </c>
    </row>
    <row r="366">
      <c r="F366" s="197" t="str">
        <f t="shared" si="2"/>
        <v/>
      </c>
    </row>
    <row r="367">
      <c r="F367" s="197" t="str">
        <f t="shared" si="2"/>
        <v/>
      </c>
    </row>
    <row r="368">
      <c r="F368" s="197" t="str">
        <f t="shared" si="2"/>
        <v/>
      </c>
    </row>
    <row r="369">
      <c r="F369" s="197" t="str">
        <f t="shared" si="2"/>
        <v/>
      </c>
    </row>
    <row r="370">
      <c r="F370" s="197" t="str">
        <f t="shared" si="2"/>
        <v/>
      </c>
    </row>
    <row r="371">
      <c r="F371" s="197" t="str">
        <f t="shared" si="2"/>
        <v/>
      </c>
    </row>
    <row r="372">
      <c r="F372" s="197" t="str">
        <f t="shared" si="2"/>
        <v/>
      </c>
    </row>
    <row r="373">
      <c r="F373" s="197" t="str">
        <f t="shared" si="2"/>
        <v/>
      </c>
    </row>
    <row r="374">
      <c r="F374" s="197" t="str">
        <f t="shared" si="2"/>
        <v/>
      </c>
    </row>
    <row r="375">
      <c r="F375" s="197" t="str">
        <f t="shared" si="2"/>
        <v/>
      </c>
    </row>
    <row r="376">
      <c r="F376" s="197" t="str">
        <f t="shared" si="2"/>
        <v/>
      </c>
    </row>
    <row r="377">
      <c r="F377" s="197" t="str">
        <f t="shared" si="2"/>
        <v/>
      </c>
    </row>
    <row r="378">
      <c r="F378" s="197" t="str">
        <f t="shared" si="2"/>
        <v/>
      </c>
    </row>
    <row r="379">
      <c r="F379" s="197" t="str">
        <f t="shared" si="2"/>
        <v/>
      </c>
    </row>
    <row r="380">
      <c r="F380" s="197" t="str">
        <f t="shared" si="2"/>
        <v/>
      </c>
    </row>
  </sheetData>
  <hyperlinks>
    <hyperlink display="Dat.600" location="StaffInformation!G303" ref="M3"/>
    <hyperlink display="Trang.600" location="StaffInformation!H3" ref="M4"/>
    <hyperlink display="Duong.600" location="StaffInformation!H63" ref="M5"/>
    <hyperlink display="Quynh.600" location="StaffInformation!H244" ref="M6"/>
    <hyperlink display="Lam.600" location="StaffInformation!G183" ref="M7"/>
    <hyperlink display="Huyen.600" location="StaffInformation!H453" ref="M8"/>
    <hyperlink display="Quan.600" location="StaffInformation!H153" ref="M9"/>
    <hyperlink display="Giang.500" location="StaffInformation!H273" ref="M10"/>
    <hyperlink display="Lan Huong.600" location="StaffInformation!H423" ref="M11"/>
    <hyperlink display="Kien.TYM" location="StaffInformation!G333" ref="M12"/>
    <hyperlink display="Vu.600" location="StaffInformation!G363" ref="M13"/>
    <hyperlink display="Quyet.600" location="StaffInformation!G393" ref="M14"/>
    <hyperlink display="Thuyet.Site" location="StaffInformation!G484" ref="M15"/>
    <hyperlink display="Nam.600" location="StaffInformation!H213" ref="M16"/>
    <hyperlink display="Tien.200" location="StaffInformation!H1025" ref="M18"/>
    <hyperlink display="Luat.000" location="StaffInformation!G785" ref="M19"/>
    <hyperlink display="Duy Anh.200" location="StaffInformation!G995" ref="M20"/>
    <hyperlink display="Trang.300" location="StaffInformation!H965" ref="M21"/>
    <hyperlink display="Sim.300" location="StaffInformation!G875" ref="M22"/>
    <hyperlink display="Thuy.300" location="StaffInformation!G905" ref="M23"/>
    <hyperlink display="Hong.300" location="StaffInformation!G635" ref="M24"/>
    <hyperlink display="Tam.500" location="StaffInformation!G93" ref="M25"/>
    <hyperlink display="Thao.500" location="StaffInformation!G665" ref="M26"/>
    <hyperlink display="Quyen.500" location="StaffInformation!G123" ref="M27"/>
    <hyperlink display="Hieu.100" location="StaffInformation!G935" ref="M28"/>
    <hyperlink display="Hieu.600" location="StaffInformation!G514" ref="M71"/>
  </hyperlinks>
  <drawing r:id="rId1"/>
</worksheet>
</file>