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1-10" sheetId="2" r:id="rId5"/>
    <sheet state="visible" name="05-10" sheetId="3" r:id="rId6"/>
    <sheet state="visible" name="08-10" sheetId="4" r:id="rId7"/>
    <sheet state="visible" name="11-10" sheetId="5" r:id="rId8"/>
    <sheet state="visible" name="13-10" sheetId="6" r:id="rId9"/>
    <sheet state="visible" name="14-10" sheetId="7" r:id="rId10"/>
    <sheet state="visible" name="15-10" sheetId="8" r:id="rId11"/>
    <sheet state="visible" name="16-10" sheetId="9" r:id="rId12"/>
    <sheet state="visible" name="18-10" sheetId="10" r:id="rId13"/>
    <sheet state="visible" name="19-10" sheetId="11" r:id="rId14"/>
    <sheet state="visible" name="21-10" sheetId="12" r:id="rId15"/>
    <sheet state="visible" name="22-10" sheetId="13" r:id="rId16"/>
    <sheet state="visible" name="23-10" sheetId="14" r:id="rId17"/>
    <sheet state="visible" name="25-10" sheetId="15" r:id="rId18"/>
    <sheet state="visible" name="26-10" sheetId="16" r:id="rId19"/>
    <sheet state="visible" name="28-10" sheetId="17" r:id="rId20"/>
    <sheet state="visible" name="29-10" sheetId="18" r:id="rId21"/>
    <sheet state="visible" name="SUMMARY" sheetId="19" r:id="rId22"/>
    <sheet state="visible" name="mau" sheetId="20" r:id="rId23"/>
    <sheet state="hidden" name="REJECTED BLOCK" sheetId="21" r:id="rId24"/>
    <sheet state="hidden" name="H &amp; T" sheetId="22" r:id="rId25"/>
    <sheet state="hidden" name="OTHER LOSS" sheetId="23" r:id="rId26"/>
    <sheet state="hidden" name="GAS LOSS" sheetId="24" r:id="rId27"/>
    <sheet state="hidden" name="TOTAL" sheetId="25" r:id="rId28"/>
    <sheet state="hidden" name="total (Chemical)" sheetId="26" r:id="rId29"/>
    <sheet state="hidden" name="total (Chemical) (2)" sheetId="27" r:id="rId30"/>
    <sheet state="hidden" name="total (Chemical)NORMAL FOAM" sheetId="28" r:id="rId31"/>
    <sheet state="hidden" name="total (Chemical)NORMAL FOAM+FC" sheetId="29" r:id="rId32"/>
    <sheet state="hidden" name="XL4Poppy" sheetId="30" r:id="rId33"/>
  </sheets>
  <definedNames>
    <definedName name="Hello">XL4Poppy!$A$15</definedName>
    <definedName name="_Builtin0">XL4Poppy!$C$4</definedName>
    <definedName name="Poppy">XL4Poppy!$C$27</definedName>
    <definedName name="Documents_array">XL4Poppy!$B$1:$B$16</definedName>
    <definedName name="MakeIt">XL4Poppy!$A$26</definedName>
    <definedName name="Bust">XL4Poppy!$C$31</definedName>
    <definedName name="Continue">XL4Poppy!$C$9</definedName>
    <definedName name="Morning">XL4Poppy!$C$39</definedName>
  </definedNames>
  <calcPr/>
</workbook>
</file>

<file path=xl/sharedStrings.xml><?xml version="1.0" encoding="utf-8"?>
<sst xmlns="http://schemas.openxmlformats.org/spreadsheetml/2006/main" count="2164" uniqueCount="172">
  <si>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</si>
  <si>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</si>
  <si>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</si>
  <si>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</si>
  <si>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</si>
  <si>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</si>
  <si>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</si>
  <si>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</si>
  <si>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</si>
  <si>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</si>
  <si>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</si>
  <si>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</si>
  <si>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</si>
  <si>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</si>
  <si>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</si>
  <si>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</si>
  <si>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</si>
  <si>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</si>
  <si>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</si>
  <si>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</si>
  <si>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</si>
  <si>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</si>
  <si>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</si>
  <si>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</si>
  <si>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</si>
  <si>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</si>
  <si>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</si>
  <si>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</si>
  <si>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</si>
  <si>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</si>
  <si>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</si>
  <si>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</si>
  <si>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</si>
  <si>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</si>
  <si>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</si>
  <si>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</si>
  <si>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</si>
  <si>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</si>
  <si>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</si>
  <si>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</si>
  <si>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</si>
  <si>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</si>
  <si>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</si>
  <si>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</si>
  <si>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</si>
  <si>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</si>
  <si>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</si>
  <si>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</si>
  <si>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</si>
  <si>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</si>
  <si>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</si>
  <si>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</si>
  <si>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</si>
  <si>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</si>
  <si>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</si>
  <si>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</si>
  <si>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</si>
  <si>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</si>
  <si>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</si>
  <si>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</si>
  <si>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</si>
  <si>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</si>
  <si>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</si>
  <si>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</si>
  <si>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</si>
  <si>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</si>
  <si>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</si>
  <si>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HRD5040</t>
  </si>
  <si>
    <t>D1670</t>
  </si>
  <si>
    <t>D2270</t>
  </si>
  <si>
    <t>D1850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</si>
  <si>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</si>
  <si>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</si>
  <si>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</si>
  <si>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</si>
  <si>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</si>
  <si>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</si>
  <si>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</t>
  </si>
  <si>
    <t>D4050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</si>
  <si>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</si>
  <si>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</si>
  <si>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</si>
  <si>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D2250CCY</t>
  </si>
  <si>
    <t>A150/D3050CCY</t>
  </si>
  <si>
    <t>D4070</t>
  </si>
  <si>
    <t>D2070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</si>
  <si>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</si>
  <si>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</si>
  <si>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</si>
  <si>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</si>
  <si>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</si>
  <si>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t>D2270CC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</si>
  <si>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</si>
  <si>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</si>
  <si>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</si>
  <si>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</si>
  <si>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</si>
  <si>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</si>
  <si>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D2470</t>
  </si>
  <si>
    <t>A250/D3070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</si>
  <si>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</si>
  <si>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</si>
  <si>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B230/D2030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</si>
  <si>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</si>
  <si>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</si>
  <si>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</si>
  <si>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</si>
  <si>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</si>
  <si>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</si>
  <si>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D1850CC</t>
  </si>
  <si>
    <t>D2250CC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</si>
  <si>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</si>
  <si>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</si>
  <si>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</si>
  <si>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</si>
  <si>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</si>
  <si>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</si>
  <si>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</si>
  <si>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</si>
  <si>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D2550CCY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</si>
  <si>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</si>
  <si>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</si>
  <si>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</si>
  <si>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OCTOBER'2021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</si>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</sst>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AEEF3"/>
        <bgColor rgb="FFDAEEF3"/>
      </patternFill>
    </fill>
    <fill>
      <patternFill patternType="solid">
        <fgColor rgb="FFFABF8F"/>
        <bgColor rgb="FFFABF8F"/>
      </patternFill>
    </fill>
    <fill>
      <patternFill patternType="solid">
        <fgColor rgb="FF00CCFF"/>
        <bgColor rgb="FF00CCF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2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0" fillId="0" fontId="21" numFmtId="166" xfId="0" applyAlignment="1" applyFont="1" applyNumberFormat="1">
      <alignment horizontal="center"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0" numFmtId="167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12" fillId="4" fontId="20" numFmtId="1" xfId="0" applyAlignment="1" applyBorder="1" applyFont="1" applyNumberFormat="1">
      <alignment shrinkToFit="1" wrapText="0"/>
    </xf>
    <xf borderId="54" fillId="2" fontId="20" numFmtId="0" xfId="0" applyAlignment="1" applyBorder="1" applyFont="1">
      <alignment horizontal="center" shrinkToFit="1" vertical="center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7" fontId="28" numFmtId="166" xfId="0" applyAlignment="1" applyBorder="1" applyFill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12" fillId="0" fontId="30" numFmtId="0" xfId="0" applyAlignment="1" applyBorder="1" applyFont="1">
      <alignment horizontal="center" shrinkToFit="1" vertical="center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30" fillId="8" fontId="27" numFmtId="166" xfId="0" applyAlignment="1" applyBorder="1" applyFill="1" applyFont="1" applyNumberFormat="1">
      <alignment shrinkToFit="1" wrapText="0"/>
    </xf>
    <xf borderId="30" fillId="9" fontId="27" numFmtId="166" xfId="0" applyAlignment="1" applyBorder="1" applyFill="1" applyFont="1" applyNumberFormat="1">
      <alignment shrinkToFit="1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7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0" fillId="0" fontId="27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2" numFmtId="173" xfId="0" applyAlignment="1" applyBorder="1" applyFont="1" applyNumberFormat="1">
      <alignment horizontal="center" shrinkToFit="1" wrapText="0"/>
    </xf>
    <xf borderId="56" fillId="0" fontId="27" numFmtId="0" xfId="0" applyAlignment="1" applyBorder="1" applyFont="1">
      <alignment horizontal="center" shrinkToFit="1" wrapText="0"/>
    </xf>
    <xf borderId="57" fillId="0" fontId="27" numFmtId="14" xfId="0" applyAlignment="1" applyBorder="1" applyFont="1" applyNumberFormat="1">
      <alignment shrinkToFit="1" wrapText="0"/>
    </xf>
    <xf borderId="58" fillId="0" fontId="27" numFmtId="0" xfId="0" applyAlignment="1" applyBorder="1" applyFont="1">
      <alignment shrinkToFit="1" wrapText="0"/>
    </xf>
    <xf borderId="58" fillId="0" fontId="33" numFmtId="10" xfId="0" applyAlignment="1" applyBorder="1" applyFont="1" applyNumberFormat="1">
      <alignment horizontal="center" shrinkToFit="1" wrapText="0"/>
    </xf>
    <xf borderId="59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28" numFmtId="173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2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0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2" fillId="0" fontId="31" numFmtId="2" xfId="0" applyAlignment="1" applyBorder="1" applyFont="1" applyNumberFormat="1">
      <alignment shrinkToFit="1" wrapText="0"/>
    </xf>
    <xf borderId="61" fillId="0" fontId="28" numFmtId="173" xfId="0" applyAlignment="1" applyBorder="1" applyFont="1" applyNumberFormat="1">
      <alignment horizontal="center"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1" fillId="0" fontId="34" numFmtId="0" xfId="0" applyAlignment="1" applyBorder="1" applyFont="1">
      <alignment horizontal="center" shrinkToFit="1" wrapText="0"/>
    </xf>
    <xf borderId="60" fillId="4" fontId="37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7" fillId="0" fontId="34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8" fillId="0" fontId="34" numFmtId="10" xfId="0" applyAlignment="1" applyBorder="1" applyFont="1" applyNumberFormat="1">
      <alignment horizontal="center" shrinkToFit="1" wrapText="0"/>
    </xf>
    <xf borderId="59" fillId="4" fontId="37" numFmtId="10" xfId="0" applyAlignment="1" applyBorder="1" applyFont="1" applyNumberFormat="1">
      <alignment horizontal="center" shrinkToFit="1" wrapText="0"/>
    </xf>
    <xf borderId="61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36" fillId="0" fontId="28" numFmtId="173" xfId="0" applyAlignment="1" applyBorder="1" applyFont="1" applyNumberFormat="1">
      <alignment horizontal="center" shrinkToFit="1" wrapText="0"/>
    </xf>
    <xf borderId="64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5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0" fillId="0" fontId="27" numFmtId="0" xfId="0" applyAlignment="1" applyBorder="1" applyFont="1">
      <alignment horizontal="center" shrinkToFit="1" vertical="center" wrapText="0"/>
    </xf>
    <xf borderId="66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1" fillId="0" fontId="38" numFmtId="0" xfId="0" applyAlignment="1" applyBorder="1" applyFont="1">
      <alignment horizontal="center" shrinkToFit="1" wrapText="0"/>
    </xf>
    <xf borderId="67" fillId="3" fontId="27" numFmtId="10" xfId="0" applyAlignment="1" applyBorder="1" applyFont="1" applyNumberFormat="1">
      <alignment horizontal="center" shrinkToFit="1" vertical="center" wrapText="0"/>
    </xf>
    <xf borderId="62" fillId="0" fontId="28" numFmtId="2" xfId="0" applyAlignment="1" applyBorder="1" applyFont="1" applyNumberFormat="1">
      <alignment shrinkToFit="1" wrapText="0"/>
    </xf>
    <xf borderId="61" fillId="0" fontId="38" numFmtId="173" xfId="0" applyAlignment="1" applyBorder="1" applyFont="1" applyNumberFormat="1">
      <alignment horizontal="center" shrinkToFit="1" wrapText="0"/>
    </xf>
    <xf borderId="64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1" fillId="0" fontId="27" numFmtId="0" xfId="0" applyAlignment="1" applyBorder="1" applyFont="1">
      <alignment horizontal="center" shrinkToFit="1" wrapText="0"/>
    </xf>
    <xf borderId="60" fillId="4" fontId="32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7" fillId="0" fontId="27" numFmtId="0" xfId="0" applyAlignment="1" applyBorder="1" applyFont="1">
      <alignment shrinkToFit="1" wrapText="0"/>
    </xf>
    <xf borderId="58" fillId="0" fontId="27" numFmtId="10" xfId="0" applyAlignment="1" applyBorder="1" applyFont="1" applyNumberFormat="1">
      <alignment horizontal="center" shrinkToFit="1" wrapText="0"/>
    </xf>
    <xf borderId="59" fillId="4" fontId="32" numFmtId="10" xfId="0" applyAlignment="1" applyBorder="1" applyFont="1" applyNumberFormat="1">
      <alignment horizontal="center" shrinkToFit="1" wrapText="0"/>
    </xf>
    <xf borderId="61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7" fillId="0" fontId="38" numFmtId="173" xfId="0" applyAlignment="1" applyBorder="1" applyFont="1" applyNumberFormat="1">
      <alignment horizontal="center" shrinkToFit="1" wrapText="0"/>
    </xf>
    <xf borderId="30" fillId="10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5" fillId="4" fontId="32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2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0" fillId="6" fontId="28" numFmtId="0" xfId="0" applyAlignment="1" applyBorder="1" applyFont="1">
      <alignment shrinkToFit="1" vertical="center" wrapText="0"/>
    </xf>
    <xf borderId="60" fillId="6" fontId="28" numFmtId="1" xfId="0" applyAlignment="1" applyBorder="1" applyFont="1" applyNumberFormat="1">
      <alignment shrinkToFit="1" vertical="center" wrapText="0"/>
    </xf>
    <xf borderId="60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0" fillId="6" fontId="28" numFmtId="0" xfId="0" applyAlignment="1" applyBorder="1" applyFont="1">
      <alignment horizontal="left" shrinkToFit="1" vertical="center" wrapText="0"/>
    </xf>
    <xf borderId="60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1" fontId="55" numFmtId="0" xfId="0" applyAlignment="1" applyBorder="1" applyFill="1" applyFont="1">
      <alignment shrinkToFit="1" wrapText="0"/>
    </xf>
    <xf borderId="0" fillId="0" fontId="3" numFmtId="0" xfId="0" applyFont="1"/>
    <xf borderId="30" fillId="11" fontId="3" numFmtId="0" xfId="0" applyAlignment="1" applyBorder="1" applyFont="1">
      <alignment shrinkToFit="1" wrapText="0"/>
    </xf>
    <xf borderId="60" fillId="5" fontId="3" numFmtId="0" xfId="0" applyAlignment="1" applyBorder="1" applyFont="1">
      <alignment shrinkToFit="1" wrapText="0"/>
    </xf>
    <xf borderId="69" fillId="12" fontId="56" numFmtId="0" xfId="0" applyAlignment="1" applyBorder="1" applyFill="1" applyFont="1">
      <alignment horizontal="center" shrinkToFit="1" wrapText="0"/>
    </xf>
    <xf borderId="70" fillId="4" fontId="57" numFmtId="0" xfId="0" applyAlignment="1" applyBorder="1" applyFont="1">
      <alignment horizontal="center" shrinkToFit="1" wrapText="0"/>
    </xf>
    <xf borderId="70" fillId="12" fontId="56" numFmtId="0" xfId="0" applyAlignment="1" applyBorder="1" applyFont="1">
      <alignment horizontal="center" shrinkToFit="1" wrapText="0"/>
    </xf>
    <xf borderId="65" fillId="12" fontId="56" numFmtId="0" xfId="0" applyAlignment="1" applyBorder="1" applyFont="1">
      <alignment horizontal="center" shrinkToFit="1" wrapText="0"/>
    </xf>
    <xf borderId="71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206.43*68.8</f>
        <v>14202.384</v>
      </c>
      <c r="F8" s="156"/>
      <c r="G8" s="156"/>
      <c r="H8" s="157">
        <v>68.8</v>
      </c>
      <c r="I8" s="158">
        <f t="shared" ref="I8:I21" si="1">+D8*E8</f>
        <v>1143.291912</v>
      </c>
      <c r="J8" s="159">
        <f t="shared" ref="J8:J21" si="2">E8-I8</f>
        <v>13059.09209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221.782*69.3</f>
        <v>15369.4926</v>
      </c>
      <c r="F9" s="156"/>
      <c r="G9" s="156"/>
      <c r="H9" s="157">
        <v>69.3</v>
      </c>
      <c r="I9" s="158">
        <f t="shared" si="1"/>
        <v>1237.244154</v>
      </c>
      <c r="J9" s="159">
        <f t="shared" si="2"/>
        <v>14132.24845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29571.8766</v>
      </c>
      <c r="F22" s="168"/>
      <c r="G22" s="168"/>
      <c r="H22" s="169"/>
      <c r="I22" s="170">
        <f t="shared" ref="I22:J22" si="3">SUM(I8:I21)</f>
        <v>2380.536066</v>
      </c>
      <c r="J22" s="171">
        <f t="shared" si="3"/>
        <v>27191.34053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76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76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76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58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55</v>
      </c>
      <c r="C29" s="183">
        <v>102.0</v>
      </c>
      <c r="D29" s="183">
        <v>204.0</v>
      </c>
      <c r="E29" s="183">
        <v>132.0</v>
      </c>
      <c r="F29" s="183">
        <f t="shared" ref="F29:F221" si="5">VALUE(IF(RIGHT(B29, 1)="%", RIGHT(B29, 3), 0))</f>
        <v>0</v>
      </c>
      <c r="G29" s="183">
        <f t="shared" ref="G29:G221" si="6">+R29*C29/100*D29/100*E29/100</f>
        <v>61.79976</v>
      </c>
      <c r="H29" s="184">
        <f t="shared" ref="H29:H221" si="7">IF(F29=0, G29, F29*G29)</f>
        <v>61.79976</v>
      </c>
      <c r="I29" s="183">
        <v>1.0</v>
      </c>
      <c r="J29" s="185">
        <f t="shared" ref="J29:J221" si="8">+I29*H29</f>
        <v>61.79976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88.0</v>
      </c>
      <c r="R29" s="189">
        <v>22.5</v>
      </c>
      <c r="S29" s="177">
        <f t="shared" ref="S29:S222" si="9">E29/100</f>
        <v>1.32</v>
      </c>
      <c r="T29" s="160">
        <f t="shared" ref="T29:T222" si="10">I29</f>
        <v>1</v>
      </c>
      <c r="U29" s="160">
        <f t="shared" ref="U29:U222" si="11">T29*S29</f>
        <v>1.32</v>
      </c>
      <c r="V29" s="190">
        <f t="shared" ref="V29:V79" si="12">R29*C29/100*D29/100*E29/100</f>
        <v>61.79976</v>
      </c>
      <c r="W29" s="177">
        <f t="shared" ref="W29:X29" si="4">C29/100</f>
        <v>1.02</v>
      </c>
      <c r="X29" s="177">
        <f t="shared" si="4"/>
        <v>2.04</v>
      </c>
      <c r="Y29" s="177">
        <f t="shared" ref="Y29:Y222" si="14">U29</f>
        <v>1.32</v>
      </c>
      <c r="Z29" s="191">
        <f t="shared" ref="Z29:Z222" si="15">W29*X29*Y29</f>
        <v>2.746656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55</v>
      </c>
      <c r="C30" s="192">
        <v>86.0</v>
      </c>
      <c r="D30" s="192">
        <v>204.0</v>
      </c>
      <c r="E30" s="192">
        <v>163.0</v>
      </c>
      <c r="F30" s="192">
        <f t="shared" si="5"/>
        <v>0</v>
      </c>
      <c r="G30" s="192">
        <f t="shared" si="6"/>
        <v>64.34262</v>
      </c>
      <c r="H30" s="193">
        <f t="shared" si="7"/>
        <v>64.34262</v>
      </c>
      <c r="I30" s="192">
        <v>1.0</v>
      </c>
      <c r="J30" s="194">
        <f t="shared" si="8"/>
        <v>64.34262</v>
      </c>
      <c r="K30" s="139"/>
      <c r="L30" s="177"/>
      <c r="M30" s="160"/>
      <c r="N30" s="160"/>
      <c r="O30" s="139"/>
      <c r="P30" s="139"/>
      <c r="Q30" s="177">
        <v>66.0</v>
      </c>
      <c r="R30" s="189">
        <v>22.5</v>
      </c>
      <c r="S30" s="177">
        <f t="shared" si="9"/>
        <v>1.63</v>
      </c>
      <c r="T30" s="160">
        <f t="shared" si="10"/>
        <v>1</v>
      </c>
      <c r="U30" s="160">
        <f t="shared" si="11"/>
        <v>1.63</v>
      </c>
      <c r="V30" s="190">
        <f t="shared" si="12"/>
        <v>64.34262</v>
      </c>
      <c r="W30" s="177">
        <f t="shared" ref="W30:X30" si="13">C30/100</f>
        <v>0.86</v>
      </c>
      <c r="X30" s="177">
        <f t="shared" si="13"/>
        <v>2.04</v>
      </c>
      <c r="Y30" s="177">
        <f t="shared" si="14"/>
        <v>1.63</v>
      </c>
      <c r="Z30" s="191">
        <f t="shared" si="15"/>
        <v>2.859672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55</v>
      </c>
      <c r="C31" s="192">
        <v>100.0</v>
      </c>
      <c r="D31" s="192">
        <v>204.0</v>
      </c>
      <c r="E31" s="192">
        <v>140.0</v>
      </c>
      <c r="F31" s="192">
        <f t="shared" si="5"/>
        <v>0</v>
      </c>
      <c r="G31" s="192">
        <f t="shared" si="6"/>
        <v>64.26</v>
      </c>
      <c r="H31" s="193">
        <f t="shared" si="7"/>
        <v>64.26</v>
      </c>
      <c r="I31" s="192">
        <v>1.0</v>
      </c>
      <c r="J31" s="194">
        <f t="shared" si="8"/>
        <v>64.26</v>
      </c>
      <c r="K31" s="139"/>
      <c r="L31" s="177">
        <f t="shared" ref="L31:L53" si="17">D31*25.4/1000</f>
        <v>5.1816</v>
      </c>
      <c r="M31" s="160">
        <f t="shared" ref="M31:M54" si="18">+I31</f>
        <v>1</v>
      </c>
      <c r="N31" s="160">
        <f t="shared" ref="N31:N53" si="19">M31*L31</f>
        <v>5.1816</v>
      </c>
      <c r="O31" s="139"/>
      <c r="P31" s="139"/>
      <c r="Q31" s="177">
        <v>62.0</v>
      </c>
      <c r="R31" s="189">
        <v>22.5</v>
      </c>
      <c r="S31" s="177">
        <f t="shared" si="9"/>
        <v>1.4</v>
      </c>
      <c r="T31" s="160">
        <f t="shared" si="10"/>
        <v>1</v>
      </c>
      <c r="U31" s="160">
        <f t="shared" si="11"/>
        <v>1.4</v>
      </c>
      <c r="V31" s="190">
        <f t="shared" si="12"/>
        <v>64.26</v>
      </c>
      <c r="W31" s="177">
        <f t="shared" ref="W31:X31" si="16">C31/100</f>
        <v>1</v>
      </c>
      <c r="X31" s="177">
        <f t="shared" si="16"/>
        <v>2.04</v>
      </c>
      <c r="Y31" s="177">
        <f t="shared" si="14"/>
        <v>1.4</v>
      </c>
      <c r="Z31" s="191">
        <f t="shared" si="15"/>
        <v>2.856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55</v>
      </c>
      <c r="C32" s="192">
        <v>101.0</v>
      </c>
      <c r="D32" s="192">
        <v>204.0</v>
      </c>
      <c r="E32" s="192">
        <v>2881.0</v>
      </c>
      <c r="F32" s="192">
        <f t="shared" si="5"/>
        <v>0</v>
      </c>
      <c r="G32" s="192">
        <f t="shared" si="6"/>
        <v>1335.60279</v>
      </c>
      <c r="H32" s="193">
        <f t="shared" si="7"/>
        <v>1335.60279</v>
      </c>
      <c r="I32" s="192">
        <v>1.0</v>
      </c>
      <c r="J32" s="194">
        <f t="shared" si="8"/>
        <v>1335.60279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1350.0</v>
      </c>
      <c r="R32" s="189">
        <v>22.5</v>
      </c>
      <c r="S32" s="177">
        <f t="shared" si="9"/>
        <v>28.81</v>
      </c>
      <c r="T32" s="160">
        <f t="shared" si="10"/>
        <v>1</v>
      </c>
      <c r="U32" s="160">
        <f t="shared" si="11"/>
        <v>28.81</v>
      </c>
      <c r="V32" s="190">
        <f t="shared" si="12"/>
        <v>1335.60279</v>
      </c>
      <c r="W32" s="177">
        <f t="shared" ref="W32:X32" si="20">C32/100</f>
        <v>1.01</v>
      </c>
      <c r="X32" s="177">
        <f t="shared" si="20"/>
        <v>2.04</v>
      </c>
      <c r="Y32" s="177">
        <f t="shared" si="14"/>
        <v>28.81</v>
      </c>
      <c r="Z32" s="191">
        <f t="shared" si="15"/>
        <v>59.360124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55</v>
      </c>
      <c r="C33" s="192">
        <v>103.0</v>
      </c>
      <c r="D33" s="192">
        <v>204.0</v>
      </c>
      <c r="E33" s="192">
        <v>2875.0</v>
      </c>
      <c r="F33" s="192">
        <f t="shared" si="5"/>
        <v>0</v>
      </c>
      <c r="G33" s="192">
        <f t="shared" si="6"/>
        <v>1359.21375</v>
      </c>
      <c r="H33" s="193">
        <f t="shared" si="7"/>
        <v>1359.21375</v>
      </c>
      <c r="I33" s="192">
        <v>1.0</v>
      </c>
      <c r="J33" s="194">
        <f t="shared" si="8"/>
        <v>1359.21375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1400.0</v>
      </c>
      <c r="R33" s="189">
        <v>22.5</v>
      </c>
      <c r="S33" s="177">
        <f t="shared" si="9"/>
        <v>28.75</v>
      </c>
      <c r="T33" s="160">
        <f t="shared" si="10"/>
        <v>1</v>
      </c>
      <c r="U33" s="160">
        <f t="shared" si="11"/>
        <v>28.75</v>
      </c>
      <c r="V33" s="190">
        <f t="shared" si="12"/>
        <v>1359.21375</v>
      </c>
      <c r="W33" s="177">
        <f t="shared" ref="W33:X33" si="21">C33/100</f>
        <v>1.03</v>
      </c>
      <c r="X33" s="177">
        <f t="shared" si="21"/>
        <v>2.04</v>
      </c>
      <c r="Y33" s="177">
        <f t="shared" si="14"/>
        <v>28.75</v>
      </c>
      <c r="Z33" s="191">
        <f t="shared" si="15"/>
        <v>60.4095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55</v>
      </c>
      <c r="C34" s="192">
        <v>99.0</v>
      </c>
      <c r="D34" s="192">
        <v>204.0</v>
      </c>
      <c r="E34" s="192">
        <v>2878.0</v>
      </c>
      <c r="F34" s="192">
        <f t="shared" si="5"/>
        <v>0</v>
      </c>
      <c r="G34" s="192">
        <f t="shared" si="6"/>
        <v>1307.79198</v>
      </c>
      <c r="H34" s="193">
        <f t="shared" si="7"/>
        <v>1307.79198</v>
      </c>
      <c r="I34" s="192">
        <v>1.0</v>
      </c>
      <c r="J34" s="194">
        <f t="shared" si="8"/>
        <v>1307.79198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1345.0</v>
      </c>
      <c r="R34" s="189">
        <v>22.5</v>
      </c>
      <c r="S34" s="177">
        <f t="shared" si="9"/>
        <v>28.78</v>
      </c>
      <c r="T34" s="160">
        <f t="shared" si="10"/>
        <v>1</v>
      </c>
      <c r="U34" s="160">
        <f t="shared" si="11"/>
        <v>28.78</v>
      </c>
      <c r="V34" s="190">
        <f t="shared" si="12"/>
        <v>1307.79198</v>
      </c>
      <c r="W34" s="177">
        <f t="shared" ref="W34:X34" si="22">C34/100</f>
        <v>0.99</v>
      </c>
      <c r="X34" s="177">
        <f t="shared" si="22"/>
        <v>2.04</v>
      </c>
      <c r="Y34" s="177">
        <f t="shared" si="14"/>
        <v>28.78</v>
      </c>
      <c r="Z34" s="191">
        <f t="shared" si="15"/>
        <v>58.124088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55</v>
      </c>
      <c r="C35" s="192">
        <v>100.0</v>
      </c>
      <c r="D35" s="192">
        <v>204.0</v>
      </c>
      <c r="E35" s="192">
        <v>2881.0</v>
      </c>
      <c r="F35" s="192">
        <f t="shared" si="5"/>
        <v>0</v>
      </c>
      <c r="G35" s="192">
        <f t="shared" si="6"/>
        <v>1322.379</v>
      </c>
      <c r="H35" s="193">
        <f t="shared" si="7"/>
        <v>1322.379</v>
      </c>
      <c r="I35" s="192">
        <v>1.0</v>
      </c>
      <c r="J35" s="194">
        <f t="shared" si="8"/>
        <v>1322.379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1340.0</v>
      </c>
      <c r="R35" s="189">
        <v>22.5</v>
      </c>
      <c r="S35" s="177">
        <f t="shared" si="9"/>
        <v>28.81</v>
      </c>
      <c r="T35" s="160">
        <f t="shared" si="10"/>
        <v>1</v>
      </c>
      <c r="U35" s="160">
        <f t="shared" si="11"/>
        <v>28.81</v>
      </c>
      <c r="V35" s="190">
        <f t="shared" si="12"/>
        <v>1322.379</v>
      </c>
      <c r="W35" s="177">
        <f t="shared" ref="W35:X35" si="23">C35/100</f>
        <v>1</v>
      </c>
      <c r="X35" s="177">
        <f t="shared" si="23"/>
        <v>2.04</v>
      </c>
      <c r="Y35" s="177">
        <f t="shared" si="14"/>
        <v>28.81</v>
      </c>
      <c r="Z35" s="191">
        <f t="shared" si="15"/>
        <v>58.7724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55</v>
      </c>
      <c r="C36" s="192">
        <v>101.0</v>
      </c>
      <c r="D36" s="192">
        <v>204.0</v>
      </c>
      <c r="E36" s="192">
        <v>2873.0</v>
      </c>
      <c r="F36" s="192">
        <f t="shared" si="5"/>
        <v>0</v>
      </c>
      <c r="G36" s="192">
        <f t="shared" si="6"/>
        <v>1331.89407</v>
      </c>
      <c r="H36" s="193">
        <f t="shared" si="7"/>
        <v>1331.89407</v>
      </c>
      <c r="I36" s="192">
        <v>1.0</v>
      </c>
      <c r="J36" s="194">
        <f t="shared" si="8"/>
        <v>1331.89407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1345.0</v>
      </c>
      <c r="R36" s="189">
        <v>22.5</v>
      </c>
      <c r="S36" s="177">
        <f t="shared" si="9"/>
        <v>28.73</v>
      </c>
      <c r="T36" s="160">
        <f t="shared" si="10"/>
        <v>1</v>
      </c>
      <c r="U36" s="160">
        <f t="shared" si="11"/>
        <v>28.73</v>
      </c>
      <c r="V36" s="190">
        <f t="shared" si="12"/>
        <v>1331.89407</v>
      </c>
      <c r="W36" s="177">
        <f t="shared" ref="W36:X36" si="24">C36/100</f>
        <v>1.01</v>
      </c>
      <c r="X36" s="177">
        <f t="shared" si="24"/>
        <v>2.04</v>
      </c>
      <c r="Y36" s="177">
        <f t="shared" si="14"/>
        <v>28.73</v>
      </c>
      <c r="Z36" s="191">
        <f t="shared" si="15"/>
        <v>59.195292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2" t="s">
        <v>55</v>
      </c>
      <c r="C37" s="192">
        <v>102.0</v>
      </c>
      <c r="D37" s="192">
        <v>204.0</v>
      </c>
      <c r="E37" s="192">
        <v>2873.0</v>
      </c>
      <c r="F37" s="192">
        <f t="shared" si="5"/>
        <v>0</v>
      </c>
      <c r="G37" s="192">
        <f t="shared" si="6"/>
        <v>1345.08114</v>
      </c>
      <c r="H37" s="193">
        <f t="shared" si="7"/>
        <v>1345.08114</v>
      </c>
      <c r="I37" s="192">
        <v>1.0</v>
      </c>
      <c r="J37" s="194">
        <f t="shared" si="8"/>
        <v>1345.08114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1360.0</v>
      </c>
      <c r="R37" s="189">
        <v>22.5</v>
      </c>
      <c r="S37" s="177">
        <f t="shared" si="9"/>
        <v>28.73</v>
      </c>
      <c r="T37" s="160">
        <f t="shared" si="10"/>
        <v>1</v>
      </c>
      <c r="U37" s="160">
        <f t="shared" si="11"/>
        <v>28.73</v>
      </c>
      <c r="V37" s="190">
        <f t="shared" si="12"/>
        <v>1345.08114</v>
      </c>
      <c r="W37" s="177">
        <f t="shared" ref="W37:X37" si="25">C37/100</f>
        <v>1.02</v>
      </c>
      <c r="X37" s="177">
        <f t="shared" si="25"/>
        <v>2.04</v>
      </c>
      <c r="Y37" s="177">
        <f t="shared" si="14"/>
        <v>28.73</v>
      </c>
      <c r="Z37" s="191">
        <f t="shared" si="15"/>
        <v>59.781384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55</v>
      </c>
      <c r="C38" s="192">
        <v>101.0</v>
      </c>
      <c r="D38" s="192">
        <v>204.0</v>
      </c>
      <c r="E38" s="192">
        <v>2879.0</v>
      </c>
      <c r="F38" s="192">
        <f t="shared" si="5"/>
        <v>0</v>
      </c>
      <c r="G38" s="192">
        <f t="shared" si="6"/>
        <v>1334.67561</v>
      </c>
      <c r="H38" s="193">
        <f t="shared" si="7"/>
        <v>1334.67561</v>
      </c>
      <c r="I38" s="192">
        <v>1.0</v>
      </c>
      <c r="J38" s="194">
        <f t="shared" si="8"/>
        <v>1334.67561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1330.0</v>
      </c>
      <c r="R38" s="189">
        <v>22.5</v>
      </c>
      <c r="S38" s="177">
        <f t="shared" si="9"/>
        <v>28.79</v>
      </c>
      <c r="T38" s="160">
        <f t="shared" si="10"/>
        <v>1</v>
      </c>
      <c r="U38" s="160">
        <f t="shared" si="11"/>
        <v>28.79</v>
      </c>
      <c r="V38" s="190">
        <f t="shared" si="12"/>
        <v>1334.67561</v>
      </c>
      <c r="W38" s="177">
        <f t="shared" ref="W38:X38" si="26">C38/100</f>
        <v>1.01</v>
      </c>
      <c r="X38" s="177">
        <f t="shared" si="26"/>
        <v>2.04</v>
      </c>
      <c r="Y38" s="177">
        <f t="shared" si="14"/>
        <v>28.79</v>
      </c>
      <c r="Z38" s="191">
        <f t="shared" si="15"/>
        <v>59.318916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55</v>
      </c>
      <c r="C39" s="192">
        <v>101.0</v>
      </c>
      <c r="D39" s="192">
        <v>204.0</v>
      </c>
      <c r="E39" s="192">
        <v>2877.0</v>
      </c>
      <c r="F39" s="192">
        <f t="shared" si="5"/>
        <v>0</v>
      </c>
      <c r="G39" s="192">
        <f t="shared" si="6"/>
        <v>1333.74843</v>
      </c>
      <c r="H39" s="193">
        <f t="shared" si="7"/>
        <v>1333.74843</v>
      </c>
      <c r="I39" s="192">
        <v>1.0</v>
      </c>
      <c r="J39" s="194">
        <f t="shared" si="8"/>
        <v>1333.74843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1345.0</v>
      </c>
      <c r="R39" s="189">
        <v>22.5</v>
      </c>
      <c r="S39" s="177">
        <f t="shared" si="9"/>
        <v>28.77</v>
      </c>
      <c r="T39" s="160">
        <f t="shared" si="10"/>
        <v>1</v>
      </c>
      <c r="U39" s="160">
        <f t="shared" si="11"/>
        <v>28.77</v>
      </c>
      <c r="V39" s="190">
        <f t="shared" si="12"/>
        <v>1333.74843</v>
      </c>
      <c r="W39" s="177">
        <f t="shared" ref="W39:X39" si="27">C39/100</f>
        <v>1.01</v>
      </c>
      <c r="X39" s="177">
        <f t="shared" si="27"/>
        <v>2.04</v>
      </c>
      <c r="Y39" s="177">
        <f t="shared" si="14"/>
        <v>28.77</v>
      </c>
      <c r="Z39" s="191">
        <f t="shared" si="15"/>
        <v>59.277708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55</v>
      </c>
      <c r="C40" s="192">
        <v>100.0</v>
      </c>
      <c r="D40" s="192">
        <v>204.0</v>
      </c>
      <c r="E40" s="192">
        <v>2888.0</v>
      </c>
      <c r="F40" s="192">
        <f t="shared" si="5"/>
        <v>0</v>
      </c>
      <c r="G40" s="192">
        <f t="shared" si="6"/>
        <v>1325.592</v>
      </c>
      <c r="H40" s="193">
        <f t="shared" si="7"/>
        <v>1325.592</v>
      </c>
      <c r="I40" s="192">
        <v>1.0</v>
      </c>
      <c r="J40" s="194">
        <f t="shared" si="8"/>
        <v>1325.592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1335.0</v>
      </c>
      <c r="R40" s="189">
        <v>22.5</v>
      </c>
      <c r="S40" s="177">
        <f t="shared" si="9"/>
        <v>28.88</v>
      </c>
      <c r="T40" s="160">
        <f t="shared" si="10"/>
        <v>1</v>
      </c>
      <c r="U40" s="160">
        <f t="shared" si="11"/>
        <v>28.88</v>
      </c>
      <c r="V40" s="190">
        <f t="shared" si="12"/>
        <v>1325.592</v>
      </c>
      <c r="W40" s="177">
        <f t="shared" ref="W40:X40" si="28">C40/100</f>
        <v>1</v>
      </c>
      <c r="X40" s="177">
        <f t="shared" si="28"/>
        <v>2.04</v>
      </c>
      <c r="Y40" s="177">
        <f t="shared" si="14"/>
        <v>28.88</v>
      </c>
      <c r="Z40" s="191">
        <f t="shared" si="15"/>
        <v>58.9152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55</v>
      </c>
      <c r="C41" s="192">
        <v>101.0</v>
      </c>
      <c r="D41" s="192">
        <v>204.0</v>
      </c>
      <c r="E41" s="192">
        <v>2883.0</v>
      </c>
      <c r="F41" s="192">
        <f t="shared" si="5"/>
        <v>0</v>
      </c>
      <c r="G41" s="192">
        <f t="shared" si="6"/>
        <v>1336.52997</v>
      </c>
      <c r="H41" s="193">
        <f t="shared" si="7"/>
        <v>1336.52997</v>
      </c>
      <c r="I41" s="192">
        <v>1.0</v>
      </c>
      <c r="J41" s="194">
        <f t="shared" si="8"/>
        <v>1336.52997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1323.0</v>
      </c>
      <c r="R41" s="189">
        <v>22.5</v>
      </c>
      <c r="S41" s="177">
        <f t="shared" si="9"/>
        <v>28.83</v>
      </c>
      <c r="T41" s="160">
        <f t="shared" si="10"/>
        <v>1</v>
      </c>
      <c r="U41" s="160">
        <f t="shared" si="11"/>
        <v>28.83</v>
      </c>
      <c r="V41" s="190">
        <f t="shared" si="12"/>
        <v>1336.52997</v>
      </c>
      <c r="W41" s="177">
        <f t="shared" ref="W41:X41" si="29">C41/100</f>
        <v>1.01</v>
      </c>
      <c r="X41" s="177">
        <f t="shared" si="29"/>
        <v>2.04</v>
      </c>
      <c r="Y41" s="177">
        <f t="shared" si="14"/>
        <v>28.83</v>
      </c>
      <c r="Z41" s="191">
        <f t="shared" si="15"/>
        <v>59.401332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82" t="s">
        <v>55</v>
      </c>
      <c r="C42" s="183">
        <v>79.0</v>
      </c>
      <c r="D42" s="183">
        <v>190.0</v>
      </c>
      <c r="E42" s="183">
        <v>152.0</v>
      </c>
      <c r="F42" s="183">
        <f t="shared" si="5"/>
        <v>0</v>
      </c>
      <c r="G42" s="183">
        <f t="shared" si="6"/>
        <v>51.3342</v>
      </c>
      <c r="H42" s="184">
        <f t="shared" si="7"/>
        <v>51.3342</v>
      </c>
      <c r="I42" s="183">
        <v>1.0</v>
      </c>
      <c r="J42" s="185">
        <f t="shared" si="8"/>
        <v>51.3342</v>
      </c>
      <c r="K42" s="186"/>
      <c r="L42" s="187">
        <f t="shared" si="17"/>
        <v>4.826</v>
      </c>
      <c r="M42" s="188">
        <f t="shared" si="18"/>
        <v>1</v>
      </c>
      <c r="N42" s="188">
        <f t="shared" si="19"/>
        <v>4.826</v>
      </c>
      <c r="O42" s="186"/>
      <c r="P42" s="186"/>
      <c r="Q42" s="187">
        <v>61.0</v>
      </c>
      <c r="R42" s="189">
        <v>22.5</v>
      </c>
      <c r="S42" s="177">
        <f t="shared" si="9"/>
        <v>1.52</v>
      </c>
      <c r="T42" s="160">
        <f t="shared" si="10"/>
        <v>1</v>
      </c>
      <c r="U42" s="160">
        <f t="shared" si="11"/>
        <v>1.52</v>
      </c>
      <c r="V42" s="190">
        <f t="shared" si="12"/>
        <v>51.3342</v>
      </c>
      <c r="W42" s="177">
        <f t="shared" ref="W42:X42" si="30">C42/100</f>
        <v>0.79</v>
      </c>
      <c r="X42" s="177">
        <f t="shared" si="30"/>
        <v>1.9</v>
      </c>
      <c r="Y42" s="177">
        <f t="shared" si="14"/>
        <v>1.52</v>
      </c>
      <c r="Z42" s="191">
        <f t="shared" si="15"/>
        <v>2.28152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55</v>
      </c>
      <c r="C43" s="192">
        <v>85.0</v>
      </c>
      <c r="D43" s="192">
        <v>190.0</v>
      </c>
      <c r="E43" s="192">
        <v>103.0</v>
      </c>
      <c r="F43" s="192">
        <f t="shared" si="5"/>
        <v>0</v>
      </c>
      <c r="G43" s="192">
        <f t="shared" si="6"/>
        <v>37.427625</v>
      </c>
      <c r="H43" s="193">
        <f t="shared" si="7"/>
        <v>37.427625</v>
      </c>
      <c r="I43" s="192">
        <v>1.0</v>
      </c>
      <c r="J43" s="194">
        <f t="shared" si="8"/>
        <v>37.427625</v>
      </c>
      <c r="K43" s="139"/>
      <c r="L43" s="177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7">
        <v>47.0</v>
      </c>
      <c r="R43" s="189">
        <v>22.5</v>
      </c>
      <c r="S43" s="177">
        <f t="shared" si="9"/>
        <v>1.03</v>
      </c>
      <c r="T43" s="160">
        <f t="shared" si="10"/>
        <v>1</v>
      </c>
      <c r="U43" s="160">
        <f t="shared" si="11"/>
        <v>1.03</v>
      </c>
      <c r="V43" s="190">
        <f t="shared" si="12"/>
        <v>37.427625</v>
      </c>
      <c r="W43" s="177">
        <f t="shared" ref="W43:X43" si="31">C43/100</f>
        <v>0.85</v>
      </c>
      <c r="X43" s="177">
        <f t="shared" si="31"/>
        <v>1.9</v>
      </c>
      <c r="Y43" s="177">
        <f t="shared" si="14"/>
        <v>1.03</v>
      </c>
      <c r="Z43" s="191">
        <f t="shared" si="15"/>
        <v>1.66345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55</v>
      </c>
      <c r="C44" s="192">
        <v>85.0</v>
      </c>
      <c r="D44" s="192">
        <v>190.0</v>
      </c>
      <c r="E44" s="192">
        <v>171.0</v>
      </c>
      <c r="F44" s="192">
        <f t="shared" si="5"/>
        <v>0</v>
      </c>
      <c r="G44" s="192">
        <f t="shared" si="6"/>
        <v>62.137125</v>
      </c>
      <c r="H44" s="193">
        <f t="shared" si="7"/>
        <v>62.137125</v>
      </c>
      <c r="I44" s="192">
        <v>1.0</v>
      </c>
      <c r="J44" s="194">
        <f t="shared" si="8"/>
        <v>62.137125</v>
      </c>
      <c r="K44" s="139"/>
      <c r="L44" s="177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7">
        <v>77.0</v>
      </c>
      <c r="R44" s="189">
        <v>22.5</v>
      </c>
      <c r="S44" s="177">
        <f t="shared" si="9"/>
        <v>1.71</v>
      </c>
      <c r="T44" s="160">
        <f t="shared" si="10"/>
        <v>1</v>
      </c>
      <c r="U44" s="160">
        <f t="shared" si="11"/>
        <v>1.71</v>
      </c>
      <c r="V44" s="190">
        <f t="shared" si="12"/>
        <v>62.137125</v>
      </c>
      <c r="W44" s="177">
        <f t="shared" ref="W44:X44" si="32">C44/100</f>
        <v>0.85</v>
      </c>
      <c r="X44" s="177">
        <f t="shared" si="32"/>
        <v>1.9</v>
      </c>
      <c r="Y44" s="177">
        <f t="shared" si="14"/>
        <v>1.71</v>
      </c>
      <c r="Z44" s="191">
        <f t="shared" si="15"/>
        <v>2.76165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55</v>
      </c>
      <c r="C45" s="192">
        <v>101.0</v>
      </c>
      <c r="D45" s="192">
        <v>190.0</v>
      </c>
      <c r="E45" s="192">
        <v>2866.0</v>
      </c>
      <c r="F45" s="192">
        <f t="shared" si="5"/>
        <v>0</v>
      </c>
      <c r="G45" s="192">
        <f t="shared" si="6"/>
        <v>1237.46715</v>
      </c>
      <c r="H45" s="193">
        <f t="shared" si="7"/>
        <v>1237.46715</v>
      </c>
      <c r="I45" s="192">
        <v>1.0</v>
      </c>
      <c r="J45" s="194">
        <f t="shared" si="8"/>
        <v>1237.46715</v>
      </c>
      <c r="K45" s="139"/>
      <c r="L45" s="177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7">
        <v>1250.0</v>
      </c>
      <c r="R45" s="189">
        <v>22.5</v>
      </c>
      <c r="S45" s="177">
        <f t="shared" si="9"/>
        <v>28.66</v>
      </c>
      <c r="T45" s="160">
        <f t="shared" si="10"/>
        <v>1</v>
      </c>
      <c r="U45" s="160">
        <f t="shared" si="11"/>
        <v>28.66</v>
      </c>
      <c r="V45" s="190">
        <f t="shared" si="12"/>
        <v>1237.46715</v>
      </c>
      <c r="W45" s="177">
        <f t="shared" ref="W45:X45" si="33">C45/100</f>
        <v>1.01</v>
      </c>
      <c r="X45" s="177">
        <f t="shared" si="33"/>
        <v>1.9</v>
      </c>
      <c r="Y45" s="177">
        <f t="shared" si="14"/>
        <v>28.66</v>
      </c>
      <c r="Z45" s="191">
        <f t="shared" si="15"/>
        <v>54.99854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2" t="s">
        <v>55</v>
      </c>
      <c r="C46" s="192">
        <v>103.0</v>
      </c>
      <c r="D46" s="192">
        <v>190.0</v>
      </c>
      <c r="E46" s="192">
        <v>2868.0</v>
      </c>
      <c r="F46" s="192">
        <f t="shared" si="5"/>
        <v>0</v>
      </c>
      <c r="G46" s="192">
        <f t="shared" si="6"/>
        <v>1262.8521</v>
      </c>
      <c r="H46" s="193">
        <f t="shared" si="7"/>
        <v>1262.8521</v>
      </c>
      <c r="I46" s="192">
        <v>1.0</v>
      </c>
      <c r="J46" s="194">
        <f t="shared" si="8"/>
        <v>1262.8521</v>
      </c>
      <c r="K46" s="139"/>
      <c r="L46" s="177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7">
        <v>1255.0</v>
      </c>
      <c r="R46" s="189">
        <v>22.5</v>
      </c>
      <c r="S46" s="177">
        <f t="shared" si="9"/>
        <v>28.68</v>
      </c>
      <c r="T46" s="160">
        <f t="shared" si="10"/>
        <v>1</v>
      </c>
      <c r="U46" s="160">
        <f t="shared" si="11"/>
        <v>28.68</v>
      </c>
      <c r="V46" s="190">
        <f t="shared" si="12"/>
        <v>1262.8521</v>
      </c>
      <c r="W46" s="177">
        <f t="shared" ref="W46:X46" si="34">C46/100</f>
        <v>1.03</v>
      </c>
      <c r="X46" s="177">
        <f t="shared" si="34"/>
        <v>1.9</v>
      </c>
      <c r="Y46" s="177">
        <f t="shared" si="14"/>
        <v>28.68</v>
      </c>
      <c r="Z46" s="191">
        <f t="shared" si="15"/>
        <v>56.12676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2" t="s">
        <v>55</v>
      </c>
      <c r="C47" s="192">
        <v>101.0</v>
      </c>
      <c r="D47" s="192">
        <v>190.0</v>
      </c>
      <c r="E47" s="192">
        <v>2864.0</v>
      </c>
      <c r="F47" s="192">
        <f t="shared" si="5"/>
        <v>0</v>
      </c>
      <c r="G47" s="192">
        <f t="shared" si="6"/>
        <v>1236.6036</v>
      </c>
      <c r="H47" s="193">
        <f t="shared" si="7"/>
        <v>1236.6036</v>
      </c>
      <c r="I47" s="192">
        <v>1.0</v>
      </c>
      <c r="J47" s="194">
        <f t="shared" si="8"/>
        <v>1236.6036</v>
      </c>
      <c r="K47" s="139"/>
      <c r="L47" s="177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7">
        <v>1245.0</v>
      </c>
      <c r="R47" s="189">
        <v>22.5</v>
      </c>
      <c r="S47" s="177">
        <f t="shared" si="9"/>
        <v>28.64</v>
      </c>
      <c r="T47" s="160">
        <f t="shared" si="10"/>
        <v>1</v>
      </c>
      <c r="U47" s="160">
        <f t="shared" si="11"/>
        <v>28.64</v>
      </c>
      <c r="V47" s="190">
        <f t="shared" si="12"/>
        <v>1236.6036</v>
      </c>
      <c r="W47" s="177">
        <f t="shared" ref="W47:X47" si="35">C47/100</f>
        <v>1.01</v>
      </c>
      <c r="X47" s="177">
        <f t="shared" si="35"/>
        <v>1.9</v>
      </c>
      <c r="Y47" s="177">
        <f t="shared" si="14"/>
        <v>28.64</v>
      </c>
      <c r="Z47" s="191">
        <f t="shared" si="15"/>
        <v>54.96016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92" t="s">
        <v>55</v>
      </c>
      <c r="C48" s="192">
        <v>101.0</v>
      </c>
      <c r="D48" s="192">
        <v>190.0</v>
      </c>
      <c r="E48" s="192">
        <v>2868.0</v>
      </c>
      <c r="F48" s="192">
        <f t="shared" si="5"/>
        <v>0</v>
      </c>
      <c r="G48" s="192">
        <f t="shared" si="6"/>
        <v>1238.3307</v>
      </c>
      <c r="H48" s="193">
        <f t="shared" si="7"/>
        <v>1238.3307</v>
      </c>
      <c r="I48" s="192">
        <v>1.0</v>
      </c>
      <c r="J48" s="194">
        <f t="shared" si="8"/>
        <v>1238.3307</v>
      </c>
      <c r="K48" s="139"/>
      <c r="L48" s="177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7">
        <v>1240.0</v>
      </c>
      <c r="R48" s="189">
        <v>22.5</v>
      </c>
      <c r="S48" s="177">
        <f t="shared" si="9"/>
        <v>28.68</v>
      </c>
      <c r="T48" s="160">
        <f t="shared" si="10"/>
        <v>1</v>
      </c>
      <c r="U48" s="160">
        <f t="shared" si="11"/>
        <v>28.68</v>
      </c>
      <c r="V48" s="190">
        <f t="shared" si="12"/>
        <v>1238.3307</v>
      </c>
      <c r="W48" s="177">
        <f t="shared" ref="W48:X48" si="36">C48/100</f>
        <v>1.01</v>
      </c>
      <c r="X48" s="177">
        <f t="shared" si="36"/>
        <v>1.9</v>
      </c>
      <c r="Y48" s="177">
        <f t="shared" si="14"/>
        <v>28.68</v>
      </c>
      <c r="Z48" s="191">
        <f t="shared" si="15"/>
        <v>55.03692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2" t="s">
        <v>55</v>
      </c>
      <c r="C49" s="192">
        <v>102.0</v>
      </c>
      <c r="D49" s="192">
        <v>190.0</v>
      </c>
      <c r="E49" s="192">
        <v>2870.0</v>
      </c>
      <c r="F49" s="192">
        <f t="shared" si="5"/>
        <v>0</v>
      </c>
      <c r="G49" s="192">
        <f t="shared" si="6"/>
        <v>1251.4635</v>
      </c>
      <c r="H49" s="193">
        <f t="shared" si="7"/>
        <v>1251.4635</v>
      </c>
      <c r="I49" s="192">
        <v>1.0</v>
      </c>
      <c r="J49" s="194">
        <f t="shared" si="8"/>
        <v>1251.4635</v>
      </c>
      <c r="K49" s="139"/>
      <c r="L49" s="177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7">
        <v>1240.0</v>
      </c>
      <c r="R49" s="189">
        <v>22.5</v>
      </c>
      <c r="S49" s="177">
        <f t="shared" si="9"/>
        <v>28.7</v>
      </c>
      <c r="T49" s="160">
        <f t="shared" si="10"/>
        <v>1</v>
      </c>
      <c r="U49" s="160">
        <f t="shared" si="11"/>
        <v>28.7</v>
      </c>
      <c r="V49" s="190">
        <f t="shared" si="12"/>
        <v>1251.4635</v>
      </c>
      <c r="W49" s="177">
        <f t="shared" ref="W49:X49" si="37">C49/100</f>
        <v>1.02</v>
      </c>
      <c r="X49" s="177">
        <f t="shared" si="37"/>
        <v>1.9</v>
      </c>
      <c r="Y49" s="177">
        <f t="shared" si="14"/>
        <v>28.7</v>
      </c>
      <c r="Z49" s="191">
        <f t="shared" si="15"/>
        <v>55.6206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2" t="s">
        <v>55</v>
      </c>
      <c r="C50" s="192">
        <v>100.0</v>
      </c>
      <c r="D50" s="192">
        <v>190.0</v>
      </c>
      <c r="E50" s="192">
        <v>2872.0</v>
      </c>
      <c r="F50" s="192">
        <f t="shared" si="5"/>
        <v>0</v>
      </c>
      <c r="G50" s="192">
        <f t="shared" si="6"/>
        <v>1227.78</v>
      </c>
      <c r="H50" s="193">
        <f t="shared" si="7"/>
        <v>1227.78</v>
      </c>
      <c r="I50" s="192">
        <v>1.0</v>
      </c>
      <c r="J50" s="194">
        <f t="shared" si="8"/>
        <v>1227.78</v>
      </c>
      <c r="K50" s="139"/>
      <c r="L50" s="177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7">
        <v>1240.0</v>
      </c>
      <c r="R50" s="189">
        <v>22.5</v>
      </c>
      <c r="S50" s="177">
        <f t="shared" si="9"/>
        <v>28.72</v>
      </c>
      <c r="T50" s="160">
        <f t="shared" si="10"/>
        <v>1</v>
      </c>
      <c r="U50" s="160">
        <f t="shared" si="11"/>
        <v>28.72</v>
      </c>
      <c r="V50" s="190">
        <f t="shared" si="12"/>
        <v>1227.78</v>
      </c>
      <c r="W50" s="177">
        <f t="shared" ref="W50:X50" si="38">C50/100</f>
        <v>1</v>
      </c>
      <c r="X50" s="177">
        <f t="shared" si="38"/>
        <v>1.9</v>
      </c>
      <c r="Y50" s="177">
        <f t="shared" si="14"/>
        <v>28.72</v>
      </c>
      <c r="Z50" s="191">
        <f t="shared" si="15"/>
        <v>54.568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2" t="s">
        <v>55</v>
      </c>
      <c r="C51" s="192">
        <v>102.0</v>
      </c>
      <c r="D51" s="192">
        <v>190.0</v>
      </c>
      <c r="E51" s="192">
        <v>2867.0</v>
      </c>
      <c r="F51" s="192">
        <f t="shared" si="5"/>
        <v>0</v>
      </c>
      <c r="G51" s="192">
        <f t="shared" si="6"/>
        <v>1250.15535</v>
      </c>
      <c r="H51" s="193">
        <f t="shared" si="7"/>
        <v>1250.15535</v>
      </c>
      <c r="I51" s="192">
        <v>1.0</v>
      </c>
      <c r="J51" s="194">
        <f t="shared" si="8"/>
        <v>1250.15535</v>
      </c>
      <c r="K51" s="139"/>
      <c r="L51" s="177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7">
        <v>1245.0</v>
      </c>
      <c r="R51" s="189">
        <v>22.5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1250.15535</v>
      </c>
      <c r="W51" s="177">
        <f t="shared" ref="W51:X51" si="39">C51/100</f>
        <v>1.02</v>
      </c>
      <c r="X51" s="177">
        <f t="shared" si="39"/>
        <v>1.9</v>
      </c>
      <c r="Y51" s="177">
        <f t="shared" si="14"/>
        <v>28.67</v>
      </c>
      <c r="Z51" s="191">
        <f t="shared" si="15"/>
        <v>55.56246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2" t="s">
        <v>55</v>
      </c>
      <c r="C52" s="192">
        <v>102.0</v>
      </c>
      <c r="D52" s="192">
        <v>190.0</v>
      </c>
      <c r="E52" s="192">
        <v>2870.0</v>
      </c>
      <c r="F52" s="192">
        <f t="shared" si="5"/>
        <v>0</v>
      </c>
      <c r="G52" s="192">
        <f t="shared" si="6"/>
        <v>1251.4635</v>
      </c>
      <c r="H52" s="193">
        <f t="shared" si="7"/>
        <v>1251.4635</v>
      </c>
      <c r="I52" s="192">
        <v>1.0</v>
      </c>
      <c r="J52" s="194">
        <f t="shared" si="8"/>
        <v>1251.4635</v>
      </c>
      <c r="K52" s="139"/>
      <c r="L52" s="177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7">
        <v>1250.0</v>
      </c>
      <c r="R52" s="189">
        <v>22.5</v>
      </c>
      <c r="S52" s="177">
        <f t="shared" si="9"/>
        <v>28.7</v>
      </c>
      <c r="T52" s="160">
        <f t="shared" si="10"/>
        <v>1</v>
      </c>
      <c r="U52" s="160">
        <f t="shared" si="11"/>
        <v>28.7</v>
      </c>
      <c r="V52" s="190">
        <f t="shared" si="12"/>
        <v>1251.4635</v>
      </c>
      <c r="W52" s="177">
        <f t="shared" ref="W52:X52" si="40">C52/100</f>
        <v>1.02</v>
      </c>
      <c r="X52" s="177">
        <f t="shared" si="40"/>
        <v>1.9</v>
      </c>
      <c r="Y52" s="177">
        <f t="shared" si="14"/>
        <v>28.7</v>
      </c>
      <c r="Z52" s="191">
        <f t="shared" si="15"/>
        <v>55.6206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25.0</v>
      </c>
      <c r="B53" s="192" t="s">
        <v>55</v>
      </c>
      <c r="C53" s="192">
        <v>100.0</v>
      </c>
      <c r="D53" s="192">
        <v>190.0</v>
      </c>
      <c r="E53" s="192">
        <v>2880.0</v>
      </c>
      <c r="F53" s="192">
        <f t="shared" si="5"/>
        <v>0</v>
      </c>
      <c r="G53" s="192">
        <f t="shared" si="6"/>
        <v>1231.2</v>
      </c>
      <c r="H53" s="193">
        <f t="shared" si="7"/>
        <v>1231.2</v>
      </c>
      <c r="I53" s="192">
        <v>1.0</v>
      </c>
      <c r="J53" s="194">
        <f t="shared" si="8"/>
        <v>1231.2</v>
      </c>
      <c r="K53" s="139"/>
      <c r="L53" s="177">
        <f t="shared" si="17"/>
        <v>4.826</v>
      </c>
      <c r="M53" s="160">
        <f t="shared" si="18"/>
        <v>1</v>
      </c>
      <c r="N53" s="160">
        <f t="shared" si="19"/>
        <v>4.826</v>
      </c>
      <c r="O53" s="139"/>
      <c r="P53" s="139"/>
      <c r="Q53" s="177">
        <v>1225.0</v>
      </c>
      <c r="R53" s="189">
        <v>22.5</v>
      </c>
      <c r="S53" s="177">
        <f t="shared" si="9"/>
        <v>28.8</v>
      </c>
      <c r="T53" s="160">
        <f t="shared" si="10"/>
        <v>1</v>
      </c>
      <c r="U53" s="160">
        <f t="shared" si="11"/>
        <v>28.8</v>
      </c>
      <c r="V53" s="190">
        <f t="shared" si="12"/>
        <v>1231.2</v>
      </c>
      <c r="W53" s="177">
        <f t="shared" ref="W53:X53" si="41">C53/100</f>
        <v>1</v>
      </c>
      <c r="X53" s="177">
        <f t="shared" si="41"/>
        <v>1.9</v>
      </c>
      <c r="Y53" s="177">
        <f t="shared" si="14"/>
        <v>28.8</v>
      </c>
      <c r="Z53" s="191">
        <f t="shared" si="15"/>
        <v>54.72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26.0</v>
      </c>
      <c r="B54" s="192" t="s">
        <v>55</v>
      </c>
      <c r="C54" s="192">
        <v>101.0</v>
      </c>
      <c r="D54" s="192">
        <v>190.0</v>
      </c>
      <c r="E54" s="192">
        <v>2873.0</v>
      </c>
      <c r="F54" s="192">
        <f t="shared" si="5"/>
        <v>0</v>
      </c>
      <c r="G54" s="192">
        <f t="shared" si="6"/>
        <v>1240.489575</v>
      </c>
      <c r="H54" s="193">
        <f t="shared" si="7"/>
        <v>1240.489575</v>
      </c>
      <c r="I54" s="192">
        <v>1.0</v>
      </c>
      <c r="J54" s="194">
        <f t="shared" si="8"/>
        <v>1240.489575</v>
      </c>
      <c r="K54" s="139"/>
      <c r="L54" s="195"/>
      <c r="M54" s="196">
        <f t="shared" si="18"/>
        <v>1</v>
      </c>
      <c r="N54" s="196"/>
      <c r="O54" s="139"/>
      <c r="P54" s="139"/>
      <c r="Q54" s="177">
        <v>1230.0</v>
      </c>
      <c r="R54" s="189">
        <v>22.5</v>
      </c>
      <c r="S54" s="177">
        <f t="shared" si="9"/>
        <v>28.73</v>
      </c>
      <c r="T54" s="160">
        <f t="shared" si="10"/>
        <v>1</v>
      </c>
      <c r="U54" s="160">
        <f t="shared" si="11"/>
        <v>28.73</v>
      </c>
      <c r="V54" s="190">
        <f t="shared" si="12"/>
        <v>1240.489575</v>
      </c>
      <c r="W54" s="177">
        <f t="shared" ref="W54:X54" si="42">C54/100</f>
        <v>1.01</v>
      </c>
      <c r="X54" s="177">
        <f t="shared" si="42"/>
        <v>1.9</v>
      </c>
      <c r="Y54" s="177">
        <f t="shared" si="14"/>
        <v>28.73</v>
      </c>
      <c r="Z54" s="191">
        <f t="shared" si="15"/>
        <v>55.13287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51.0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52.0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53.0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54.0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6">C58/100</f>
        <v>0</v>
      </c>
      <c r="X58" s="177">
        <f t="shared" si="46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55.0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7">C59/100</f>
        <v>0</v>
      </c>
      <c r="X59" s="177">
        <f t="shared" si="47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56.0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8">C60/100</f>
        <v>0</v>
      </c>
      <c r="X60" s="177">
        <f t="shared" si="48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57.0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9">C61/100</f>
        <v>0</v>
      </c>
      <c r="X61" s="177">
        <f t="shared" si="49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58.0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0">C62/100</f>
        <v>0</v>
      </c>
      <c r="X62" s="177">
        <f t="shared" si="50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59.0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1">C63/100</f>
        <v>0</v>
      </c>
      <c r="X63" s="177">
        <f t="shared" si="51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60.0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77">
        <f t="shared" ref="L64:L65" si="53">D64*25.4/1000</f>
        <v>0</v>
      </c>
      <c r="M64" s="160" t="str">
        <f t="shared" ref="M64:M79" si="54">+I64</f>
        <v/>
      </c>
      <c r="N64" s="160">
        <f t="shared" ref="N64:N65" si="55">M64*L64</f>
        <v>0</v>
      </c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2">C64/100</f>
        <v>0</v>
      </c>
      <c r="X64" s="177">
        <f t="shared" si="52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61.0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>
        <f t="shared" si="53"/>
        <v>0</v>
      </c>
      <c r="M65" s="196" t="str">
        <f t="shared" si="54"/>
        <v/>
      </c>
      <c r="N65" s="196">
        <f t="shared" si="55"/>
        <v>0</v>
      </c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62.0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4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63.0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4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64.0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4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65.0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4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0">C69/100</f>
        <v>0</v>
      </c>
      <c r="X69" s="177">
        <f t="shared" si="60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66.0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4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1">C70/100</f>
        <v>0</v>
      </c>
      <c r="X70" s="177">
        <f t="shared" si="61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67.0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4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2">C71/100</f>
        <v>0</v>
      </c>
      <c r="X71" s="177">
        <f t="shared" si="62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68.0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4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3">C72/100</f>
        <v>0</v>
      </c>
      <c r="X72" s="177">
        <f t="shared" si="63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69.0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4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4">C73/100</f>
        <v>0</v>
      </c>
      <c r="X73" s="177">
        <f t="shared" si="64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70.0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4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5">C74/100</f>
        <v>0</v>
      </c>
      <c r="X74" s="177">
        <f t="shared" si="65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71.0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4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6">C75/100</f>
        <v>0</v>
      </c>
      <c r="X75" s="177">
        <f t="shared" si="66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72.0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4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73.0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4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74.0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4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75.0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4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76.0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77.0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78.0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79.0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80.0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81.0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82.0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83.0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84.0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85.0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86.0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87.0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88.0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89.0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90.0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91.0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92.0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93.0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94.0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95.0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96.0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97.0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98.0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99.0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100.0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101.0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102.0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103.0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104.0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105.0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106.0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107.0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108.0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109.0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110.0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111.0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112.0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113.0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114.0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115.0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116.0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117.0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118.0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119.0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120.0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121.0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122.0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123.0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124.0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125.0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126.0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127.0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128.0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129.0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130.0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131.0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132.0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133.0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134.0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135.0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136.0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137.0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138.0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139.0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140.0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141.0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142.0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143.0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144.0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145.0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146.0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147.0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148.0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149.0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150.0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151.0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152.0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153.0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154.0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155.0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156.0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157.0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158.0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159.0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160.0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161.0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162.0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163.0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164.0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165.0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166.0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167.0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168.0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169.0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170.0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171.0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172.0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173.0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174.0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175.0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176.0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177.0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178.0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179.0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180.0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181.0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182.0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183.0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184.0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185.0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186.0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187.0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188.0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189.0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190.0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191.0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192.0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193.0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194.0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195.0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196.0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197.0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198.0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199.0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200.0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201.0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202.0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203.0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204.0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205.0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206.0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207.0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208.0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209.0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210.0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211.0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212.0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7">C216/100</f>
        <v>0</v>
      </c>
      <c r="X216" s="197">
        <f t="shared" si="207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213.0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8">C217/100</f>
        <v>0</v>
      </c>
      <c r="X217" s="197">
        <f t="shared" si="208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214.0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9">C218/100</f>
        <v>0</v>
      </c>
      <c r="X218" s="197">
        <f t="shared" si="209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215.0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0">C219/100</f>
        <v>0</v>
      </c>
      <c r="X219" s="197">
        <f t="shared" si="210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216.0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1">C220/100</f>
        <v>0</v>
      </c>
      <c r="X220" s="197">
        <f t="shared" si="211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217.0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2">C221/100</f>
        <v>0</v>
      </c>
      <c r="X221" s="197">
        <f t="shared" si="212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60"/>
      <c r="B222" s="177"/>
      <c r="C222" s="177"/>
      <c r="D222" s="177"/>
      <c r="E222" s="177"/>
      <c r="F222" s="177"/>
      <c r="G222" s="177"/>
      <c r="H222" s="180"/>
      <c r="I222" s="160"/>
      <c r="J222" s="202">
        <f>+Q281</f>
        <v>40.8</v>
      </c>
      <c r="K222" s="139"/>
      <c r="L222" s="139"/>
      <c r="M222" s="139"/>
      <c r="N222" s="139"/>
      <c r="O222" s="139"/>
      <c r="P222" s="139"/>
      <c r="Q222" s="139"/>
      <c r="R222" s="203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3">C222/100</f>
        <v>0</v>
      </c>
      <c r="X222" s="197">
        <f t="shared" si="213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204"/>
      <c r="C223" s="204"/>
      <c r="D223" s="204"/>
      <c r="E223" s="204"/>
      <c r="F223" s="204"/>
      <c r="G223" s="204"/>
      <c r="H223" s="205"/>
      <c r="I223" s="206">
        <f>SUM(I29:I221)</f>
        <v>26</v>
      </c>
      <c r="J223" s="207">
        <f>SUM(J29:J222)</f>
        <v>26142.41555</v>
      </c>
      <c r="K223" s="208"/>
      <c r="L223" s="208"/>
      <c r="M223" s="208"/>
      <c r="N223" s="208"/>
      <c r="O223" s="208"/>
      <c r="P223" s="208"/>
      <c r="Q223" s="208"/>
      <c r="R223" s="141"/>
      <c r="S223" s="208">
        <f>SUMIFS($T$29:$T$221,$S$29:$S$221,"&gt;=3")</f>
        <v>20</v>
      </c>
      <c r="T223" s="208">
        <f t="shared" ref="T223:U223" si="214">SUM(T29:T221)</f>
        <v>26</v>
      </c>
      <c r="U223" s="208">
        <f t="shared" si="214"/>
        <v>583.47</v>
      </c>
      <c r="V223" s="208"/>
      <c r="W223" s="208"/>
      <c r="X223" s="208"/>
      <c r="Y223" s="208"/>
      <c r="Z223" s="209">
        <f>SUM(Z29:Z222)</f>
        <v>1160.071802</v>
      </c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  <c r="AO223" s="208"/>
      <c r="AP223" s="208"/>
      <c r="AQ223" s="208"/>
      <c r="AR223" s="208"/>
      <c r="AS223" s="208"/>
      <c r="AT223" s="208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201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3"/>
      <c r="S225" s="139"/>
      <c r="T225" s="139" t="s">
        <v>48</v>
      </c>
      <c r="U225" s="139" t="s">
        <v>59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 t="s">
        <v>31</v>
      </c>
      <c r="T226" s="210">
        <f>SUMIFS($J$29:$J$221,$S$29:$S$221,"&gt;=3")</f>
        <v>25760.31422</v>
      </c>
      <c r="U226" s="211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 t="s">
        <v>32</v>
      </c>
      <c r="B227" s="139"/>
      <c r="C227" s="139"/>
      <c r="D227" s="139" t="s">
        <v>33</v>
      </c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34</v>
      </c>
      <c r="T227" s="212">
        <f>J223-T226</f>
        <v>382.10133</v>
      </c>
      <c r="U227" s="211">
        <f>+SUMIFS($U$29:$U$221,$S$29:$S$221,"&gt;=3")</f>
        <v>574.86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203"/>
      <c r="S228" s="139"/>
      <c r="T228" s="213">
        <f>+I223</f>
        <v>26</v>
      </c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39.0" customHeight="1">
      <c r="A229" s="177"/>
      <c r="B229" s="160" t="s">
        <v>12</v>
      </c>
      <c r="C229" s="178" t="s">
        <v>60</v>
      </c>
      <c r="D229" s="52"/>
      <c r="E229" s="53"/>
      <c r="F229" s="179"/>
      <c r="G229" s="179"/>
      <c r="H229" s="180" t="s">
        <v>14</v>
      </c>
      <c r="I229" s="160" t="s">
        <v>15</v>
      </c>
      <c r="J229" s="160" t="s">
        <v>16</v>
      </c>
      <c r="K229" s="139"/>
      <c r="L229" s="139"/>
      <c r="M229" s="139"/>
      <c r="N229" s="139"/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1.0</v>
      </c>
      <c r="B230" s="214"/>
      <c r="C230" s="214"/>
      <c r="D230" s="214"/>
      <c r="E230" s="214"/>
      <c r="F230" s="214">
        <f t="shared" ref="F230:F243" si="215">1-VALUE(IF(RIGHT(B230, 1)="%", RIGHT(B230, 3), 0))</f>
        <v>1</v>
      </c>
      <c r="G230" s="214">
        <f t="shared" ref="G230:G243" si="216">+Q230*C230/100*D230/100*E230/100</f>
        <v>0</v>
      </c>
      <c r="H230" s="215">
        <f t="shared" ref="H230:H243" si="217">IF(F230=0, G230, F230*G230)</f>
        <v>0</v>
      </c>
      <c r="I230" s="214"/>
      <c r="J230" s="216"/>
      <c r="K230" s="139"/>
      <c r="L230" s="177">
        <f t="shared" ref="L230:L238" si="218">D230*25.4/1000</f>
        <v>0</v>
      </c>
      <c r="M230" s="160" t="str">
        <f t="shared" ref="M230:M234" si="219">+I230</f>
        <v/>
      </c>
      <c r="N230" s="160">
        <f t="shared" ref="N230:N234" si="220">M230*L230</f>
        <v>0</v>
      </c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2.0</v>
      </c>
      <c r="B231" s="214"/>
      <c r="C231" s="214"/>
      <c r="D231" s="214"/>
      <c r="E231" s="214"/>
      <c r="F231" s="214">
        <f t="shared" si="215"/>
        <v>1</v>
      </c>
      <c r="G231" s="214">
        <f t="shared" si="216"/>
        <v>0</v>
      </c>
      <c r="H231" s="215">
        <f t="shared" si="217"/>
        <v>0</v>
      </c>
      <c r="I231" s="214"/>
      <c r="J231" s="216">
        <f t="shared" ref="J231:J243" si="221">+I231*H231</f>
        <v>0</v>
      </c>
      <c r="K231" s="139"/>
      <c r="L231" s="177">
        <f t="shared" si="218"/>
        <v>0</v>
      </c>
      <c r="M231" s="160" t="str">
        <f t="shared" si="219"/>
        <v/>
      </c>
      <c r="N231" s="160">
        <f t="shared" si="220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3.0</v>
      </c>
      <c r="B232" s="217"/>
      <c r="C232" s="217"/>
      <c r="D232" s="217"/>
      <c r="E232" s="217"/>
      <c r="F232" s="217">
        <f t="shared" si="215"/>
        <v>1</v>
      </c>
      <c r="G232" s="217">
        <f t="shared" si="216"/>
        <v>0</v>
      </c>
      <c r="H232" s="218">
        <f t="shared" si="217"/>
        <v>0</v>
      </c>
      <c r="I232" s="217"/>
      <c r="J232" s="194">
        <f t="shared" si="221"/>
        <v>0</v>
      </c>
      <c r="K232" s="139"/>
      <c r="L232" s="177">
        <f t="shared" si="218"/>
        <v>0</v>
      </c>
      <c r="M232" s="160" t="str">
        <f t="shared" si="219"/>
        <v/>
      </c>
      <c r="N232" s="160">
        <f t="shared" si="220"/>
        <v>0</v>
      </c>
      <c r="O232" s="139"/>
      <c r="P232" s="139"/>
      <c r="Q232" s="139"/>
      <c r="R232" s="139"/>
      <c r="S232" s="21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4.0</v>
      </c>
      <c r="B233" s="217"/>
      <c r="C233" s="217"/>
      <c r="D233" s="217"/>
      <c r="E233" s="217"/>
      <c r="F233" s="217">
        <f t="shared" si="215"/>
        <v>1</v>
      </c>
      <c r="G233" s="217">
        <f t="shared" si="216"/>
        <v>0</v>
      </c>
      <c r="H233" s="218">
        <f t="shared" si="217"/>
        <v>0</v>
      </c>
      <c r="I233" s="217"/>
      <c r="J233" s="194">
        <f t="shared" si="221"/>
        <v>0</v>
      </c>
      <c r="K233" s="139"/>
      <c r="L233" s="177">
        <f t="shared" si="218"/>
        <v>0</v>
      </c>
      <c r="M233" s="160" t="str">
        <f t="shared" si="219"/>
        <v/>
      </c>
      <c r="N233" s="160">
        <f t="shared" si="220"/>
        <v>0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5.0</v>
      </c>
      <c r="B234" s="217"/>
      <c r="C234" s="217"/>
      <c r="D234" s="217"/>
      <c r="E234" s="217"/>
      <c r="F234" s="217">
        <f t="shared" si="215"/>
        <v>1</v>
      </c>
      <c r="G234" s="217">
        <f t="shared" si="216"/>
        <v>0</v>
      </c>
      <c r="H234" s="218">
        <f t="shared" si="217"/>
        <v>0</v>
      </c>
      <c r="I234" s="217"/>
      <c r="J234" s="194">
        <f t="shared" si="221"/>
        <v>0</v>
      </c>
      <c r="K234" s="139"/>
      <c r="L234" s="177">
        <f t="shared" si="218"/>
        <v>0</v>
      </c>
      <c r="M234" s="160" t="str">
        <f t="shared" si="219"/>
        <v/>
      </c>
      <c r="N234" s="160">
        <f t="shared" si="220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6.0</v>
      </c>
      <c r="B235" s="217"/>
      <c r="C235" s="217"/>
      <c r="D235" s="217"/>
      <c r="E235" s="217"/>
      <c r="F235" s="217">
        <f t="shared" si="215"/>
        <v>1</v>
      </c>
      <c r="G235" s="217">
        <f t="shared" si="216"/>
        <v>0</v>
      </c>
      <c r="H235" s="218">
        <f t="shared" si="217"/>
        <v>0</v>
      </c>
      <c r="I235" s="217"/>
      <c r="J235" s="194">
        <f t="shared" si="221"/>
        <v>0</v>
      </c>
      <c r="K235" s="139"/>
      <c r="L235" s="139">
        <f t="shared" si="218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7.0</v>
      </c>
      <c r="B236" s="217"/>
      <c r="C236" s="217"/>
      <c r="D236" s="217"/>
      <c r="E236" s="217"/>
      <c r="F236" s="217">
        <f t="shared" si="215"/>
        <v>1</v>
      </c>
      <c r="G236" s="217">
        <f t="shared" si="216"/>
        <v>0</v>
      </c>
      <c r="H236" s="218">
        <f t="shared" si="217"/>
        <v>0</v>
      </c>
      <c r="I236" s="217"/>
      <c r="J236" s="194">
        <f t="shared" si="221"/>
        <v>0</v>
      </c>
      <c r="K236" s="139"/>
      <c r="L236" s="139">
        <f t="shared" si="218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8.0</v>
      </c>
      <c r="B237" s="217"/>
      <c r="C237" s="217"/>
      <c r="D237" s="217"/>
      <c r="E237" s="217"/>
      <c r="F237" s="217">
        <f t="shared" si="215"/>
        <v>1</v>
      </c>
      <c r="G237" s="217">
        <f t="shared" si="216"/>
        <v>0</v>
      </c>
      <c r="H237" s="218">
        <f t="shared" si="217"/>
        <v>0</v>
      </c>
      <c r="I237" s="217"/>
      <c r="J237" s="194">
        <f t="shared" si="221"/>
        <v>0</v>
      </c>
      <c r="K237" s="139"/>
      <c r="L237" s="139">
        <f t="shared" si="218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9.0</v>
      </c>
      <c r="B238" s="217"/>
      <c r="C238" s="217"/>
      <c r="D238" s="217"/>
      <c r="E238" s="217"/>
      <c r="F238" s="217">
        <f t="shared" si="215"/>
        <v>1</v>
      </c>
      <c r="G238" s="217">
        <f t="shared" si="216"/>
        <v>0</v>
      </c>
      <c r="H238" s="218">
        <f t="shared" si="217"/>
        <v>0</v>
      </c>
      <c r="I238" s="217"/>
      <c r="J238" s="194">
        <f t="shared" si="221"/>
        <v>0</v>
      </c>
      <c r="K238" s="139"/>
      <c r="L238" s="139">
        <f t="shared" si="218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10.0</v>
      </c>
      <c r="B239" s="192"/>
      <c r="C239" s="192"/>
      <c r="D239" s="192"/>
      <c r="E239" s="192"/>
      <c r="F239" s="192">
        <f t="shared" si="215"/>
        <v>1</v>
      </c>
      <c r="G239" s="192">
        <f t="shared" si="216"/>
        <v>0</v>
      </c>
      <c r="H239" s="193">
        <f t="shared" si="217"/>
        <v>0</v>
      </c>
      <c r="I239" s="192"/>
      <c r="J239" s="194">
        <f t="shared" si="221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11.0</v>
      </c>
      <c r="B240" s="192"/>
      <c r="C240" s="192"/>
      <c r="D240" s="192"/>
      <c r="E240" s="192"/>
      <c r="F240" s="192">
        <f t="shared" si="215"/>
        <v>1</v>
      </c>
      <c r="G240" s="192">
        <f t="shared" si="216"/>
        <v>0</v>
      </c>
      <c r="H240" s="193">
        <f t="shared" si="217"/>
        <v>0</v>
      </c>
      <c r="I240" s="192"/>
      <c r="J240" s="194">
        <f t="shared" si="221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12.0</v>
      </c>
      <c r="B241" s="192"/>
      <c r="C241" s="192"/>
      <c r="D241" s="192"/>
      <c r="E241" s="192"/>
      <c r="F241" s="192">
        <f t="shared" si="215"/>
        <v>1</v>
      </c>
      <c r="G241" s="192">
        <f t="shared" si="216"/>
        <v>0</v>
      </c>
      <c r="H241" s="193">
        <f t="shared" si="217"/>
        <v>0</v>
      </c>
      <c r="I241" s="192"/>
      <c r="J241" s="194">
        <f t="shared" si="221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13.0</v>
      </c>
      <c r="B242" s="192"/>
      <c r="C242" s="192"/>
      <c r="D242" s="192"/>
      <c r="E242" s="192"/>
      <c r="F242" s="192">
        <f t="shared" si="215"/>
        <v>1</v>
      </c>
      <c r="G242" s="192">
        <f t="shared" si="216"/>
        <v>0</v>
      </c>
      <c r="H242" s="193">
        <f t="shared" si="217"/>
        <v>0</v>
      </c>
      <c r="I242" s="192"/>
      <c r="J242" s="194">
        <f t="shared" si="221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14.0</v>
      </c>
      <c r="B243" s="192"/>
      <c r="C243" s="192"/>
      <c r="D243" s="192"/>
      <c r="E243" s="192"/>
      <c r="F243" s="192">
        <f t="shared" si="215"/>
        <v>1</v>
      </c>
      <c r="G243" s="192">
        <f t="shared" si="216"/>
        <v>0</v>
      </c>
      <c r="H243" s="193">
        <f t="shared" si="217"/>
        <v>0</v>
      </c>
      <c r="I243" s="192"/>
      <c r="J243" s="194">
        <f t="shared" si="221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/>
      <c r="B244" s="195"/>
      <c r="C244" s="195"/>
      <c r="D244" s="195"/>
      <c r="E244" s="195"/>
      <c r="F244" s="195"/>
      <c r="G244" s="195"/>
      <c r="H244" s="221" t="s">
        <v>38</v>
      </c>
      <c r="I244" s="195"/>
      <c r="J244" s="222">
        <f>SUM(J230:J243)</f>
        <v>0</v>
      </c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74"/>
      <c r="B245" s="144"/>
      <c r="C245" s="144"/>
      <c r="D245" s="144"/>
      <c r="E245" s="144"/>
      <c r="F245" s="144"/>
      <c r="G245" s="144"/>
      <c r="H245" s="145"/>
      <c r="I245" s="144"/>
      <c r="J245" s="175"/>
      <c r="K245" s="139"/>
      <c r="L245" s="139"/>
      <c r="M245" s="139"/>
      <c r="N245" s="139"/>
      <c r="O245" s="139"/>
      <c r="P245" s="139"/>
      <c r="Q245" s="139"/>
      <c r="R245" s="141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 t="s">
        <v>39</v>
      </c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42.0" customHeight="1">
      <c r="A250" s="177"/>
      <c r="B250" s="160" t="s">
        <v>12</v>
      </c>
      <c r="C250" s="178" t="s">
        <v>61</v>
      </c>
      <c r="D250" s="52"/>
      <c r="E250" s="53"/>
      <c r="F250" s="224"/>
      <c r="G250" s="224"/>
      <c r="H250" s="180" t="s">
        <v>14</v>
      </c>
      <c r="I250" s="225" t="s">
        <v>15</v>
      </c>
      <c r="J250" s="160" t="s">
        <v>16</v>
      </c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1.0</v>
      </c>
      <c r="B251" s="182" t="s">
        <v>55</v>
      </c>
      <c r="C251" s="198"/>
      <c r="D251" s="198"/>
      <c r="E251" s="198"/>
      <c r="F251" s="198"/>
      <c r="G251" s="198"/>
      <c r="H251" s="226">
        <v>23.0</v>
      </c>
      <c r="I251" s="198">
        <v>1.0</v>
      </c>
      <c r="J251" s="194">
        <f t="shared" ref="J251:J279" si="222">+I251*H251</f>
        <v>23</v>
      </c>
      <c r="K251" s="177"/>
      <c r="L251" s="177"/>
      <c r="M251" s="177"/>
      <c r="N251" s="177"/>
      <c r="O251" s="177"/>
      <c r="P251" s="177"/>
      <c r="Q251" s="227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2.0</v>
      </c>
      <c r="B252" s="192" t="s">
        <v>55</v>
      </c>
      <c r="C252" s="198"/>
      <c r="D252" s="198"/>
      <c r="E252" s="198"/>
      <c r="F252" s="198"/>
      <c r="G252" s="198"/>
      <c r="H252" s="226">
        <v>27.0</v>
      </c>
      <c r="I252" s="198">
        <v>1.0</v>
      </c>
      <c r="J252" s="194">
        <f t="shared" si="222"/>
        <v>27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3.0</v>
      </c>
      <c r="B253" s="182" t="s">
        <v>55</v>
      </c>
      <c r="C253" s="198"/>
      <c r="D253" s="198"/>
      <c r="E253" s="198"/>
      <c r="F253" s="198"/>
      <c r="G253" s="198"/>
      <c r="H253" s="226">
        <v>22.0</v>
      </c>
      <c r="I253" s="198">
        <v>1.0</v>
      </c>
      <c r="J253" s="194">
        <f t="shared" si="222"/>
        <v>22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4.0</v>
      </c>
      <c r="B254" s="192" t="s">
        <v>55</v>
      </c>
      <c r="C254" s="198"/>
      <c r="D254" s="198"/>
      <c r="E254" s="198"/>
      <c r="F254" s="198"/>
      <c r="G254" s="198"/>
      <c r="H254" s="226">
        <v>30.0</v>
      </c>
      <c r="I254" s="198">
        <v>1.0</v>
      </c>
      <c r="J254" s="194">
        <f t="shared" si="222"/>
        <v>30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11.0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22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12.0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22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13.0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22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14.0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22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15.0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2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16.0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2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17.0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2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18.0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2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19.0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2"/>
        <v>0</v>
      </c>
      <c r="K263" s="177"/>
      <c r="L263" s="177"/>
      <c r="M263" s="177"/>
      <c r="N263" s="177"/>
      <c r="O263" s="177"/>
      <c r="P263" s="177"/>
      <c r="Q263" s="227"/>
      <c r="R263" s="140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20.0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2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21.0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2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22.0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2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23.0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2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24.0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2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25.0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2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26.0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2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27.0</v>
      </c>
      <c r="B271" s="228"/>
      <c r="C271" s="198"/>
      <c r="D271" s="198"/>
      <c r="E271" s="198"/>
      <c r="F271" s="198"/>
      <c r="G271" s="198"/>
      <c r="H271" s="198"/>
      <c r="I271" s="198"/>
      <c r="J271" s="194">
        <f t="shared" si="222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28.0</v>
      </c>
      <c r="B272" s="228"/>
      <c r="C272" s="198"/>
      <c r="D272" s="198"/>
      <c r="E272" s="198"/>
      <c r="F272" s="198"/>
      <c r="G272" s="198"/>
      <c r="H272" s="198"/>
      <c r="I272" s="198"/>
      <c r="J272" s="194">
        <f t="shared" si="222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29.0</v>
      </c>
      <c r="B273" s="229"/>
      <c r="C273" s="198"/>
      <c r="D273" s="198"/>
      <c r="E273" s="198"/>
      <c r="F273" s="198"/>
      <c r="G273" s="198"/>
      <c r="H273" s="198"/>
      <c r="I273" s="198"/>
      <c r="J273" s="194">
        <f t="shared" si="222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30.0</v>
      </c>
      <c r="B274" s="229"/>
      <c r="C274" s="198"/>
      <c r="D274" s="198"/>
      <c r="E274" s="198"/>
      <c r="F274" s="198"/>
      <c r="G274" s="198"/>
      <c r="H274" s="226"/>
      <c r="I274" s="198"/>
      <c r="J274" s="194">
        <f t="shared" si="222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31.0</v>
      </c>
      <c r="B275" s="217"/>
      <c r="C275" s="198"/>
      <c r="D275" s="198"/>
      <c r="E275" s="198"/>
      <c r="F275" s="198"/>
      <c r="G275" s="198"/>
      <c r="H275" s="226"/>
      <c r="I275" s="198"/>
      <c r="J275" s="194">
        <f t="shared" si="222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32.0</v>
      </c>
      <c r="B276" s="217"/>
      <c r="C276" s="160"/>
      <c r="D276" s="160"/>
      <c r="E276" s="160"/>
      <c r="F276" s="160"/>
      <c r="G276" s="160"/>
      <c r="H276" s="160"/>
      <c r="I276" s="160"/>
      <c r="J276" s="194">
        <f t="shared" si="222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33.0</v>
      </c>
      <c r="B277" s="229"/>
      <c r="C277" s="160"/>
      <c r="D277" s="160"/>
      <c r="E277" s="160"/>
      <c r="F277" s="160"/>
      <c r="G277" s="160"/>
      <c r="H277" s="160"/>
      <c r="I277" s="160"/>
      <c r="J277" s="194">
        <f t="shared" si="222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34.0</v>
      </c>
      <c r="B278" s="230"/>
      <c r="C278" s="160"/>
      <c r="D278" s="160"/>
      <c r="E278" s="160"/>
      <c r="F278" s="160"/>
      <c r="G278" s="160"/>
      <c r="H278" s="160"/>
      <c r="I278" s="160"/>
      <c r="J278" s="194">
        <f t="shared" si="222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35.0</v>
      </c>
      <c r="B279" s="231"/>
      <c r="C279" s="160"/>
      <c r="D279" s="160"/>
      <c r="E279" s="160"/>
      <c r="F279" s="160"/>
      <c r="G279" s="160"/>
      <c r="H279" s="160"/>
      <c r="I279" s="160"/>
      <c r="J279" s="194">
        <f t="shared" si="222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32">
        <f>SUM(J251:J279)</f>
        <v>102</v>
      </c>
      <c r="K280" s="233"/>
      <c r="L280" s="233"/>
      <c r="M280" s="233"/>
      <c r="N280" s="233"/>
      <c r="O280" s="233"/>
      <c r="P280" s="233"/>
      <c r="Q280" s="233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3"/>
      <c r="J281" s="204">
        <f>+J280*60%</f>
        <v>61.2</v>
      </c>
      <c r="K281" s="204"/>
      <c r="L281" s="204"/>
      <c r="M281" s="204"/>
      <c r="N281" s="204"/>
      <c r="O281" s="204"/>
      <c r="P281" s="204"/>
      <c r="Q281" s="204">
        <f>+J280*40%</f>
        <v>40.8</v>
      </c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4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35"/>
      <c r="B285" s="236" t="s">
        <v>42</v>
      </c>
      <c r="C285" s="236" t="s">
        <v>43</v>
      </c>
      <c r="D285" s="236" t="s">
        <v>44</v>
      </c>
      <c r="E285" s="236" t="s">
        <v>45</v>
      </c>
      <c r="F285" s="236"/>
      <c r="G285" s="236"/>
      <c r="H285" s="237" t="s">
        <v>46</v>
      </c>
      <c r="I285" s="238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9" t="s">
        <v>48</v>
      </c>
      <c r="B286" s="240">
        <f>+E22</f>
        <v>29571.8766</v>
      </c>
      <c r="C286" s="241">
        <f>+J223</f>
        <v>26142.41555</v>
      </c>
      <c r="D286" s="241">
        <f>+J244</f>
        <v>0</v>
      </c>
      <c r="E286" s="242">
        <f>J281</f>
        <v>61.2</v>
      </c>
      <c r="F286" s="242"/>
      <c r="G286" s="242"/>
      <c r="H286" s="243">
        <f>+I22</f>
        <v>2380.536066</v>
      </c>
      <c r="I286" s="244">
        <f>+B286-C286-D286-E286-H286</f>
        <v>987.7249887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45" t="s">
        <v>49</v>
      </c>
      <c r="B287" s="246"/>
      <c r="C287" s="247">
        <f>+C286/B286</f>
        <v>0.8840296441</v>
      </c>
      <c r="D287" s="247">
        <f>+D286/B286</f>
        <v>0</v>
      </c>
      <c r="E287" s="247">
        <f>+E286/B286</f>
        <v>0.002069533862</v>
      </c>
      <c r="F287" s="247"/>
      <c r="G287" s="247"/>
      <c r="H287" s="248">
        <f>+H286/B286</f>
        <v>0.0805</v>
      </c>
      <c r="I287" s="249">
        <f>+I286/B286</f>
        <v>0.03340082207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3"/>
      <c r="B288" s="220"/>
      <c r="C288" s="250"/>
      <c r="D288" s="250"/>
      <c r="E288" s="250"/>
      <c r="F288" s="250"/>
      <c r="G288" s="250"/>
      <c r="H288" s="251"/>
      <c r="I288" s="252"/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3"/>
      <c r="B289" s="254"/>
      <c r="C289" s="254"/>
      <c r="D289" s="254" t="s">
        <v>50</v>
      </c>
      <c r="E289" s="254" t="s">
        <v>48</v>
      </c>
      <c r="F289" s="254"/>
      <c r="G289" s="254"/>
      <c r="H289" s="255">
        <f>+D286+E286+H286+I286</f>
        <v>3429.461055</v>
      </c>
      <c r="I289" s="256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/>
      <c r="E290" s="139" t="s">
        <v>49</v>
      </c>
      <c r="F290" s="139"/>
      <c r="G290" s="139"/>
      <c r="H290" s="251">
        <f>+H289/B286</f>
        <v>0.1159703559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 t="s">
        <v>51</v>
      </c>
      <c r="D291" s="139"/>
      <c r="E291" s="139"/>
      <c r="F291" s="139"/>
      <c r="G291" s="139"/>
      <c r="H291" s="140"/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9"/>
      <c r="B293" s="260"/>
      <c r="C293" s="260"/>
      <c r="D293" s="260"/>
      <c r="E293" s="260"/>
      <c r="F293" s="260"/>
      <c r="G293" s="260"/>
      <c r="H293" s="261"/>
      <c r="I293" s="262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9:E229"/>
    <mergeCell ref="C250:E25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222.39*100.2</f>
        <v>22283.478</v>
      </c>
      <c r="F8" s="156"/>
      <c r="G8" s="156"/>
      <c r="H8" s="157">
        <v>100.2</v>
      </c>
      <c r="I8" s="158">
        <f t="shared" ref="I8:I21" si="1">+D8*E8</f>
        <v>1793.819979</v>
      </c>
      <c r="J8" s="159">
        <f t="shared" ref="J8:J21" si="2">E8-I8</f>
        <v>20489.65802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63</v>
      </c>
      <c r="C9" s="154">
        <v>25.5</v>
      </c>
      <c r="D9" s="155">
        <v>0.0577</v>
      </c>
      <c r="E9" s="156">
        <f>262.536*8.2</f>
        <v>2152.7952</v>
      </c>
      <c r="F9" s="156"/>
      <c r="G9" s="156"/>
      <c r="H9" s="157">
        <v>8.2</v>
      </c>
      <c r="I9" s="158">
        <f t="shared" si="1"/>
        <v>124.216283</v>
      </c>
      <c r="J9" s="159">
        <f t="shared" si="2"/>
        <v>2028.578917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24436.2732</v>
      </c>
      <c r="F22" s="168"/>
      <c r="G22" s="168"/>
      <c r="H22" s="169"/>
      <c r="I22" s="170">
        <f t="shared" ref="I22:J22" si="3">SUM(I8:I21)</f>
        <v>1918.036262</v>
      </c>
      <c r="J22" s="171">
        <f t="shared" si="3"/>
        <v>22518.23694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64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55</v>
      </c>
      <c r="C29" s="183">
        <v>87.0</v>
      </c>
      <c r="D29" s="183">
        <v>204.0</v>
      </c>
      <c r="E29" s="183">
        <v>158.0</v>
      </c>
      <c r="F29" s="183">
        <f t="shared" ref="F29:F219" si="5">VALUE(IF(RIGHT(B29, 1)="%", RIGHT(B29, 3), 0))</f>
        <v>0</v>
      </c>
      <c r="G29" s="183">
        <f t="shared" ref="G29:G219" si="6">+R29*C29/100*D29/100*E29/100</f>
        <v>63.09414</v>
      </c>
      <c r="H29" s="184">
        <f t="shared" ref="H29:H219" si="7">IF(F29=0, G29, F29*G29)</f>
        <v>63.09414</v>
      </c>
      <c r="I29" s="183">
        <v>1.0</v>
      </c>
      <c r="J29" s="185">
        <f t="shared" ref="J29:J219" si="8">+I29*H29</f>
        <v>63.09414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69.5</v>
      </c>
      <c r="R29" s="189">
        <v>22.5</v>
      </c>
      <c r="S29" s="177">
        <f t="shared" ref="S29:S220" si="9">E29/100</f>
        <v>1.58</v>
      </c>
      <c r="T29" s="160">
        <f t="shared" ref="T29:T220" si="10">I29</f>
        <v>1</v>
      </c>
      <c r="U29" s="160">
        <f t="shared" ref="U29:U220" si="11">T29*S29</f>
        <v>1.58</v>
      </c>
      <c r="V29" s="190">
        <f t="shared" ref="V29:V77" si="12">R29*C29/100*D29/100*E29/100</f>
        <v>63.09414</v>
      </c>
      <c r="W29" s="177">
        <f t="shared" ref="W29:X29" si="4">C29/100</f>
        <v>0.87</v>
      </c>
      <c r="X29" s="177">
        <f t="shared" si="4"/>
        <v>2.04</v>
      </c>
      <c r="Y29" s="177">
        <f t="shared" ref="Y29:Y220" si="14">U29</f>
        <v>1.58</v>
      </c>
      <c r="Z29" s="191">
        <f t="shared" ref="Z29:Z220" si="15">W29*X29*Y29</f>
        <v>2.804184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55</v>
      </c>
      <c r="C30" s="192">
        <v>71.0</v>
      </c>
      <c r="D30" s="192">
        <v>204.0</v>
      </c>
      <c r="E30" s="192">
        <v>169.0</v>
      </c>
      <c r="F30" s="192">
        <f t="shared" si="5"/>
        <v>0</v>
      </c>
      <c r="G30" s="192">
        <f t="shared" si="6"/>
        <v>55.07541</v>
      </c>
      <c r="H30" s="193">
        <f t="shared" si="7"/>
        <v>55.07541</v>
      </c>
      <c r="I30" s="192">
        <v>1.0</v>
      </c>
      <c r="J30" s="194">
        <f t="shared" si="8"/>
        <v>55.07541</v>
      </c>
      <c r="K30" s="139"/>
      <c r="L30" s="177"/>
      <c r="M30" s="160"/>
      <c r="N30" s="160"/>
      <c r="O30" s="139"/>
      <c r="P30" s="139"/>
      <c r="Q30" s="177">
        <v>71.5</v>
      </c>
      <c r="R30" s="189">
        <v>22.5</v>
      </c>
      <c r="S30" s="177">
        <f t="shared" si="9"/>
        <v>1.69</v>
      </c>
      <c r="T30" s="160">
        <f t="shared" si="10"/>
        <v>1</v>
      </c>
      <c r="U30" s="160">
        <f t="shared" si="11"/>
        <v>1.69</v>
      </c>
      <c r="V30" s="190">
        <f t="shared" si="12"/>
        <v>55.07541</v>
      </c>
      <c r="W30" s="177">
        <f t="shared" ref="W30:X30" si="13">C30/100</f>
        <v>0.71</v>
      </c>
      <c r="X30" s="177">
        <f t="shared" si="13"/>
        <v>2.04</v>
      </c>
      <c r="Y30" s="177">
        <f t="shared" si="14"/>
        <v>1.69</v>
      </c>
      <c r="Z30" s="191">
        <f t="shared" si="15"/>
        <v>2.447796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55</v>
      </c>
      <c r="C31" s="192">
        <v>95.0</v>
      </c>
      <c r="D31" s="192">
        <v>204.0</v>
      </c>
      <c r="E31" s="192">
        <v>196.0</v>
      </c>
      <c r="F31" s="192">
        <f t="shared" si="5"/>
        <v>0</v>
      </c>
      <c r="G31" s="192">
        <f t="shared" si="6"/>
        <v>85.4658</v>
      </c>
      <c r="H31" s="193">
        <f t="shared" si="7"/>
        <v>85.4658</v>
      </c>
      <c r="I31" s="192">
        <v>1.0</v>
      </c>
      <c r="J31" s="194">
        <f t="shared" si="8"/>
        <v>85.4658</v>
      </c>
      <c r="K31" s="139"/>
      <c r="L31" s="177">
        <f t="shared" ref="L31:L52" si="17">D31*25.4/1000</f>
        <v>5.1816</v>
      </c>
      <c r="M31" s="160">
        <f t="shared" ref="M31:M52" si="18">+I31</f>
        <v>1</v>
      </c>
      <c r="N31" s="160">
        <f t="shared" ref="N31:N52" si="19">M31*L31</f>
        <v>5.1816</v>
      </c>
      <c r="O31" s="139"/>
      <c r="P31" s="139"/>
      <c r="Q31" s="177">
        <v>89.0</v>
      </c>
      <c r="R31" s="189">
        <v>22.5</v>
      </c>
      <c r="S31" s="177">
        <f t="shared" si="9"/>
        <v>1.96</v>
      </c>
      <c r="T31" s="160">
        <f t="shared" si="10"/>
        <v>1</v>
      </c>
      <c r="U31" s="160">
        <f t="shared" si="11"/>
        <v>1.96</v>
      </c>
      <c r="V31" s="190">
        <f t="shared" si="12"/>
        <v>85.4658</v>
      </c>
      <c r="W31" s="177">
        <f t="shared" ref="W31:X31" si="16">C31/100</f>
        <v>0.95</v>
      </c>
      <c r="X31" s="177">
        <f t="shared" si="16"/>
        <v>2.04</v>
      </c>
      <c r="Y31" s="177">
        <f t="shared" si="14"/>
        <v>1.96</v>
      </c>
      <c r="Z31" s="191">
        <f t="shared" si="15"/>
        <v>3.79848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55</v>
      </c>
      <c r="C32" s="192">
        <v>102.0</v>
      </c>
      <c r="D32" s="192">
        <v>204.0</v>
      </c>
      <c r="E32" s="192">
        <v>150.0</v>
      </c>
      <c r="F32" s="192">
        <f t="shared" si="5"/>
        <v>0</v>
      </c>
      <c r="G32" s="192">
        <f t="shared" si="6"/>
        <v>70.227</v>
      </c>
      <c r="H32" s="193">
        <f t="shared" si="7"/>
        <v>70.227</v>
      </c>
      <c r="I32" s="192">
        <v>1.0</v>
      </c>
      <c r="J32" s="194">
        <f t="shared" si="8"/>
        <v>70.227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95.0</v>
      </c>
      <c r="R32" s="189">
        <v>22.5</v>
      </c>
      <c r="S32" s="177">
        <f t="shared" si="9"/>
        <v>1.5</v>
      </c>
      <c r="T32" s="160">
        <f t="shared" si="10"/>
        <v>1</v>
      </c>
      <c r="U32" s="160">
        <f t="shared" si="11"/>
        <v>1.5</v>
      </c>
      <c r="V32" s="190">
        <f t="shared" si="12"/>
        <v>70.227</v>
      </c>
      <c r="W32" s="177">
        <f t="shared" ref="W32:X32" si="20">C32/100</f>
        <v>1.02</v>
      </c>
      <c r="X32" s="177">
        <f t="shared" si="20"/>
        <v>2.04</v>
      </c>
      <c r="Y32" s="177">
        <f t="shared" si="14"/>
        <v>1.5</v>
      </c>
      <c r="Z32" s="191">
        <f t="shared" si="15"/>
        <v>3.1212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55</v>
      </c>
      <c r="C33" s="192">
        <v>101.0</v>
      </c>
      <c r="D33" s="192">
        <v>204.0</v>
      </c>
      <c r="E33" s="192">
        <v>2635.0</v>
      </c>
      <c r="F33" s="192">
        <f t="shared" si="5"/>
        <v>0</v>
      </c>
      <c r="G33" s="192">
        <f t="shared" si="6"/>
        <v>1221.55965</v>
      </c>
      <c r="H33" s="193">
        <f t="shared" si="7"/>
        <v>1221.55965</v>
      </c>
      <c r="I33" s="192">
        <v>1.0</v>
      </c>
      <c r="J33" s="194">
        <f t="shared" si="8"/>
        <v>1221.55965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1215.0</v>
      </c>
      <c r="R33" s="189">
        <v>22.5</v>
      </c>
      <c r="S33" s="177">
        <f t="shared" si="9"/>
        <v>26.35</v>
      </c>
      <c r="T33" s="160">
        <f t="shared" si="10"/>
        <v>1</v>
      </c>
      <c r="U33" s="160">
        <f t="shared" si="11"/>
        <v>26.35</v>
      </c>
      <c r="V33" s="190">
        <f t="shared" si="12"/>
        <v>1221.55965</v>
      </c>
      <c r="W33" s="177">
        <f t="shared" ref="W33:X33" si="21">C33/100</f>
        <v>1.01</v>
      </c>
      <c r="X33" s="177">
        <f t="shared" si="21"/>
        <v>2.04</v>
      </c>
      <c r="Y33" s="177">
        <f t="shared" si="14"/>
        <v>26.35</v>
      </c>
      <c r="Z33" s="191">
        <f t="shared" si="15"/>
        <v>54.29154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55</v>
      </c>
      <c r="C34" s="192">
        <v>102.0</v>
      </c>
      <c r="D34" s="192">
        <v>204.0</v>
      </c>
      <c r="E34" s="192">
        <v>2869.0</v>
      </c>
      <c r="F34" s="192">
        <f t="shared" si="5"/>
        <v>0</v>
      </c>
      <c r="G34" s="192">
        <f t="shared" si="6"/>
        <v>1343.20842</v>
      </c>
      <c r="H34" s="193">
        <f t="shared" si="7"/>
        <v>1343.20842</v>
      </c>
      <c r="I34" s="192">
        <v>1.0</v>
      </c>
      <c r="J34" s="194">
        <f t="shared" si="8"/>
        <v>1343.20842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1330.0</v>
      </c>
      <c r="R34" s="189">
        <v>22.5</v>
      </c>
      <c r="S34" s="177">
        <f t="shared" si="9"/>
        <v>28.69</v>
      </c>
      <c r="T34" s="160">
        <f t="shared" si="10"/>
        <v>1</v>
      </c>
      <c r="U34" s="160">
        <f t="shared" si="11"/>
        <v>28.69</v>
      </c>
      <c r="V34" s="190">
        <f t="shared" si="12"/>
        <v>1343.20842</v>
      </c>
      <c r="W34" s="177">
        <f t="shared" ref="W34:X34" si="22">C34/100</f>
        <v>1.02</v>
      </c>
      <c r="X34" s="177">
        <f t="shared" si="22"/>
        <v>2.04</v>
      </c>
      <c r="Y34" s="177">
        <f t="shared" si="14"/>
        <v>28.69</v>
      </c>
      <c r="Z34" s="191">
        <f t="shared" si="15"/>
        <v>59.698152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55</v>
      </c>
      <c r="C35" s="192">
        <v>100.0</v>
      </c>
      <c r="D35" s="192">
        <v>204.0</v>
      </c>
      <c r="E35" s="192">
        <v>2870.0</v>
      </c>
      <c r="F35" s="192">
        <f t="shared" si="5"/>
        <v>0</v>
      </c>
      <c r="G35" s="192">
        <f t="shared" si="6"/>
        <v>1317.33</v>
      </c>
      <c r="H35" s="193">
        <f t="shared" si="7"/>
        <v>1317.33</v>
      </c>
      <c r="I35" s="192">
        <v>1.0</v>
      </c>
      <c r="J35" s="194">
        <f t="shared" si="8"/>
        <v>1317.33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1305.0</v>
      </c>
      <c r="R35" s="189">
        <v>22.5</v>
      </c>
      <c r="S35" s="177">
        <f t="shared" si="9"/>
        <v>28.7</v>
      </c>
      <c r="T35" s="160">
        <f t="shared" si="10"/>
        <v>1</v>
      </c>
      <c r="U35" s="160">
        <f t="shared" si="11"/>
        <v>28.7</v>
      </c>
      <c r="V35" s="190">
        <f t="shared" si="12"/>
        <v>1317.33</v>
      </c>
      <c r="W35" s="177">
        <f t="shared" ref="W35:X35" si="23">C35/100</f>
        <v>1</v>
      </c>
      <c r="X35" s="177">
        <f t="shared" si="23"/>
        <v>2.04</v>
      </c>
      <c r="Y35" s="177">
        <f t="shared" si="14"/>
        <v>28.7</v>
      </c>
      <c r="Z35" s="191">
        <f t="shared" si="15"/>
        <v>58.548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55</v>
      </c>
      <c r="C36" s="192">
        <v>100.0</v>
      </c>
      <c r="D36" s="192">
        <v>204.0</v>
      </c>
      <c r="E36" s="192">
        <v>2871.0</v>
      </c>
      <c r="F36" s="192">
        <f t="shared" si="5"/>
        <v>0</v>
      </c>
      <c r="G36" s="192">
        <f t="shared" si="6"/>
        <v>1317.789</v>
      </c>
      <c r="H36" s="193">
        <f t="shared" si="7"/>
        <v>1317.789</v>
      </c>
      <c r="I36" s="192">
        <v>1.0</v>
      </c>
      <c r="J36" s="194">
        <f t="shared" si="8"/>
        <v>1317.789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1310.0</v>
      </c>
      <c r="R36" s="189">
        <v>22.5</v>
      </c>
      <c r="S36" s="177">
        <f t="shared" si="9"/>
        <v>28.71</v>
      </c>
      <c r="T36" s="160">
        <f t="shared" si="10"/>
        <v>1</v>
      </c>
      <c r="U36" s="160">
        <f t="shared" si="11"/>
        <v>28.71</v>
      </c>
      <c r="V36" s="190">
        <f t="shared" si="12"/>
        <v>1317.789</v>
      </c>
      <c r="W36" s="177">
        <f t="shared" ref="W36:X36" si="24">C36/100</f>
        <v>1</v>
      </c>
      <c r="X36" s="177">
        <f t="shared" si="24"/>
        <v>2.04</v>
      </c>
      <c r="Y36" s="177">
        <f t="shared" si="14"/>
        <v>28.71</v>
      </c>
      <c r="Z36" s="191">
        <f t="shared" si="15"/>
        <v>58.5684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2" t="s">
        <v>55</v>
      </c>
      <c r="C37" s="192">
        <v>101.0</v>
      </c>
      <c r="D37" s="192">
        <v>204.0</v>
      </c>
      <c r="E37" s="192">
        <v>2865.0</v>
      </c>
      <c r="F37" s="192">
        <f t="shared" si="5"/>
        <v>0</v>
      </c>
      <c r="G37" s="192">
        <f t="shared" si="6"/>
        <v>1328.18535</v>
      </c>
      <c r="H37" s="193">
        <f t="shared" si="7"/>
        <v>1328.18535</v>
      </c>
      <c r="I37" s="192">
        <v>1.0</v>
      </c>
      <c r="J37" s="194">
        <f t="shared" si="8"/>
        <v>1328.18535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1325.0</v>
      </c>
      <c r="R37" s="189">
        <v>22.5</v>
      </c>
      <c r="S37" s="177">
        <f t="shared" si="9"/>
        <v>28.65</v>
      </c>
      <c r="T37" s="160">
        <f t="shared" si="10"/>
        <v>1</v>
      </c>
      <c r="U37" s="160">
        <f t="shared" si="11"/>
        <v>28.65</v>
      </c>
      <c r="V37" s="190">
        <f t="shared" si="12"/>
        <v>1328.18535</v>
      </c>
      <c r="W37" s="177">
        <f t="shared" ref="W37:X37" si="25">C37/100</f>
        <v>1.01</v>
      </c>
      <c r="X37" s="177">
        <f t="shared" si="25"/>
        <v>2.04</v>
      </c>
      <c r="Y37" s="177">
        <f t="shared" si="14"/>
        <v>28.65</v>
      </c>
      <c r="Z37" s="191">
        <f t="shared" si="15"/>
        <v>59.03046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55</v>
      </c>
      <c r="C38" s="192">
        <v>101.0</v>
      </c>
      <c r="D38" s="192">
        <v>204.0</v>
      </c>
      <c r="E38" s="192">
        <v>2865.0</v>
      </c>
      <c r="F38" s="192">
        <f t="shared" si="5"/>
        <v>0</v>
      </c>
      <c r="G38" s="192">
        <f t="shared" si="6"/>
        <v>1328.18535</v>
      </c>
      <c r="H38" s="193">
        <f t="shared" si="7"/>
        <v>1328.18535</v>
      </c>
      <c r="I38" s="192">
        <v>1.0</v>
      </c>
      <c r="J38" s="194">
        <f t="shared" si="8"/>
        <v>1328.18535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1315.0</v>
      </c>
      <c r="R38" s="189">
        <v>22.5</v>
      </c>
      <c r="S38" s="177">
        <f t="shared" si="9"/>
        <v>28.65</v>
      </c>
      <c r="T38" s="160">
        <f t="shared" si="10"/>
        <v>1</v>
      </c>
      <c r="U38" s="160">
        <f t="shared" si="11"/>
        <v>28.65</v>
      </c>
      <c r="V38" s="190">
        <f t="shared" si="12"/>
        <v>1328.18535</v>
      </c>
      <c r="W38" s="177">
        <f t="shared" ref="W38:X38" si="26">C38/100</f>
        <v>1.01</v>
      </c>
      <c r="X38" s="177">
        <f t="shared" si="26"/>
        <v>2.04</v>
      </c>
      <c r="Y38" s="177">
        <f t="shared" si="14"/>
        <v>28.65</v>
      </c>
      <c r="Z38" s="191">
        <f t="shared" si="15"/>
        <v>59.03046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55</v>
      </c>
      <c r="C39" s="192">
        <v>102.0</v>
      </c>
      <c r="D39" s="192">
        <v>204.0</v>
      </c>
      <c r="E39" s="192">
        <v>2866.0</v>
      </c>
      <c r="F39" s="192">
        <f t="shared" si="5"/>
        <v>0</v>
      </c>
      <c r="G39" s="192">
        <f t="shared" si="6"/>
        <v>1341.80388</v>
      </c>
      <c r="H39" s="193">
        <f t="shared" si="7"/>
        <v>1341.80388</v>
      </c>
      <c r="I39" s="192">
        <v>1.0</v>
      </c>
      <c r="J39" s="194">
        <f t="shared" si="8"/>
        <v>1341.80388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1335.0</v>
      </c>
      <c r="R39" s="189">
        <v>22.5</v>
      </c>
      <c r="S39" s="177">
        <f t="shared" si="9"/>
        <v>28.66</v>
      </c>
      <c r="T39" s="160">
        <f t="shared" si="10"/>
        <v>1</v>
      </c>
      <c r="U39" s="160">
        <f t="shared" si="11"/>
        <v>28.66</v>
      </c>
      <c r="V39" s="190">
        <f t="shared" si="12"/>
        <v>1341.80388</v>
      </c>
      <c r="W39" s="177">
        <f t="shared" ref="W39:X39" si="27">C39/100</f>
        <v>1.02</v>
      </c>
      <c r="X39" s="177">
        <f t="shared" si="27"/>
        <v>2.04</v>
      </c>
      <c r="Y39" s="177">
        <f t="shared" si="14"/>
        <v>28.66</v>
      </c>
      <c r="Z39" s="191">
        <f t="shared" si="15"/>
        <v>59.635728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55</v>
      </c>
      <c r="C40" s="192">
        <v>102.0</v>
      </c>
      <c r="D40" s="192">
        <v>204.0</v>
      </c>
      <c r="E40" s="192">
        <v>2866.0</v>
      </c>
      <c r="F40" s="192">
        <f t="shared" si="5"/>
        <v>0</v>
      </c>
      <c r="G40" s="192">
        <f t="shared" si="6"/>
        <v>1341.80388</v>
      </c>
      <c r="H40" s="193">
        <f t="shared" si="7"/>
        <v>1341.80388</v>
      </c>
      <c r="I40" s="192">
        <v>1.0</v>
      </c>
      <c r="J40" s="194">
        <f t="shared" si="8"/>
        <v>1341.80388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1330.0</v>
      </c>
      <c r="R40" s="189">
        <v>22.5</v>
      </c>
      <c r="S40" s="177">
        <f t="shared" si="9"/>
        <v>28.66</v>
      </c>
      <c r="T40" s="160">
        <f t="shared" si="10"/>
        <v>1</v>
      </c>
      <c r="U40" s="160">
        <f t="shared" si="11"/>
        <v>28.66</v>
      </c>
      <c r="V40" s="190">
        <f t="shared" si="12"/>
        <v>1341.80388</v>
      </c>
      <c r="W40" s="177">
        <f t="shared" ref="W40:X40" si="28">C40/100</f>
        <v>1.02</v>
      </c>
      <c r="X40" s="177">
        <f t="shared" si="28"/>
        <v>2.04</v>
      </c>
      <c r="Y40" s="177">
        <f t="shared" si="14"/>
        <v>28.66</v>
      </c>
      <c r="Z40" s="191">
        <f t="shared" si="15"/>
        <v>59.635728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55</v>
      </c>
      <c r="C41" s="192">
        <v>100.0</v>
      </c>
      <c r="D41" s="192">
        <v>204.0</v>
      </c>
      <c r="E41" s="192">
        <v>2867.0</v>
      </c>
      <c r="F41" s="192">
        <f t="shared" si="5"/>
        <v>0</v>
      </c>
      <c r="G41" s="192">
        <f t="shared" si="6"/>
        <v>1315.953</v>
      </c>
      <c r="H41" s="193">
        <f t="shared" si="7"/>
        <v>1315.953</v>
      </c>
      <c r="I41" s="192">
        <v>1.0</v>
      </c>
      <c r="J41" s="194">
        <f t="shared" si="8"/>
        <v>1315.953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1315.0</v>
      </c>
      <c r="R41" s="189">
        <v>22.5</v>
      </c>
      <c r="S41" s="177">
        <f t="shared" si="9"/>
        <v>28.67</v>
      </c>
      <c r="T41" s="160">
        <f t="shared" si="10"/>
        <v>1</v>
      </c>
      <c r="U41" s="160">
        <f t="shared" si="11"/>
        <v>28.67</v>
      </c>
      <c r="V41" s="190">
        <f t="shared" si="12"/>
        <v>1315.953</v>
      </c>
      <c r="W41" s="177">
        <f t="shared" ref="W41:X41" si="29">C41/100</f>
        <v>1</v>
      </c>
      <c r="X41" s="177">
        <f t="shared" si="29"/>
        <v>2.04</v>
      </c>
      <c r="Y41" s="177">
        <f t="shared" si="14"/>
        <v>28.67</v>
      </c>
      <c r="Z41" s="191">
        <f t="shared" si="15"/>
        <v>58.4868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2" t="s">
        <v>55</v>
      </c>
      <c r="C42" s="192">
        <v>101.0</v>
      </c>
      <c r="D42" s="192">
        <v>204.0</v>
      </c>
      <c r="E42" s="192">
        <v>2867.0</v>
      </c>
      <c r="F42" s="192">
        <f t="shared" si="5"/>
        <v>0</v>
      </c>
      <c r="G42" s="192">
        <f t="shared" si="6"/>
        <v>1329.11253</v>
      </c>
      <c r="H42" s="193">
        <f t="shared" si="7"/>
        <v>1329.11253</v>
      </c>
      <c r="I42" s="192">
        <v>1.0</v>
      </c>
      <c r="J42" s="194">
        <f t="shared" si="8"/>
        <v>1329.11253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1320.0</v>
      </c>
      <c r="R42" s="189">
        <v>22.5</v>
      </c>
      <c r="S42" s="177">
        <f t="shared" si="9"/>
        <v>28.67</v>
      </c>
      <c r="T42" s="160">
        <f t="shared" si="10"/>
        <v>1</v>
      </c>
      <c r="U42" s="160">
        <f t="shared" si="11"/>
        <v>28.67</v>
      </c>
      <c r="V42" s="190">
        <f t="shared" si="12"/>
        <v>1329.11253</v>
      </c>
      <c r="W42" s="177">
        <f t="shared" ref="W42:X42" si="30">C42/100</f>
        <v>1.01</v>
      </c>
      <c r="X42" s="177">
        <f t="shared" si="30"/>
        <v>2.04</v>
      </c>
      <c r="Y42" s="177">
        <f t="shared" si="14"/>
        <v>28.67</v>
      </c>
      <c r="Z42" s="191">
        <f t="shared" si="15"/>
        <v>59.071668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55</v>
      </c>
      <c r="C43" s="192">
        <v>101.0</v>
      </c>
      <c r="D43" s="192">
        <v>204.0</v>
      </c>
      <c r="E43" s="192">
        <v>2866.0</v>
      </c>
      <c r="F43" s="192">
        <f t="shared" si="5"/>
        <v>0</v>
      </c>
      <c r="G43" s="192">
        <f t="shared" si="6"/>
        <v>1328.64894</v>
      </c>
      <c r="H43" s="193">
        <f t="shared" si="7"/>
        <v>1328.64894</v>
      </c>
      <c r="I43" s="192">
        <v>1.0</v>
      </c>
      <c r="J43" s="194">
        <f t="shared" si="8"/>
        <v>1328.64894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1320.0</v>
      </c>
      <c r="R43" s="189">
        <v>22.5</v>
      </c>
      <c r="S43" s="177">
        <f t="shared" si="9"/>
        <v>28.66</v>
      </c>
      <c r="T43" s="160">
        <f t="shared" si="10"/>
        <v>1</v>
      </c>
      <c r="U43" s="160">
        <f t="shared" si="11"/>
        <v>28.66</v>
      </c>
      <c r="V43" s="190">
        <f t="shared" si="12"/>
        <v>1328.64894</v>
      </c>
      <c r="W43" s="177">
        <f t="shared" ref="W43:X43" si="31">C43/100</f>
        <v>1.01</v>
      </c>
      <c r="X43" s="177">
        <f t="shared" si="31"/>
        <v>2.04</v>
      </c>
      <c r="Y43" s="177">
        <f t="shared" si="14"/>
        <v>28.66</v>
      </c>
      <c r="Z43" s="191">
        <f t="shared" si="15"/>
        <v>59.051064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55</v>
      </c>
      <c r="C44" s="192">
        <v>102.0</v>
      </c>
      <c r="D44" s="192">
        <v>204.0</v>
      </c>
      <c r="E44" s="192">
        <v>2866.0</v>
      </c>
      <c r="F44" s="192">
        <f t="shared" si="5"/>
        <v>0</v>
      </c>
      <c r="G44" s="192">
        <f t="shared" si="6"/>
        <v>1341.80388</v>
      </c>
      <c r="H44" s="193">
        <f t="shared" si="7"/>
        <v>1341.80388</v>
      </c>
      <c r="I44" s="192">
        <v>1.0</v>
      </c>
      <c r="J44" s="194">
        <f t="shared" si="8"/>
        <v>1341.80388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1320.0</v>
      </c>
      <c r="R44" s="189">
        <v>22.5</v>
      </c>
      <c r="S44" s="177">
        <f t="shared" si="9"/>
        <v>28.66</v>
      </c>
      <c r="T44" s="160">
        <f t="shared" si="10"/>
        <v>1</v>
      </c>
      <c r="U44" s="160">
        <f t="shared" si="11"/>
        <v>28.66</v>
      </c>
      <c r="V44" s="190">
        <f t="shared" si="12"/>
        <v>1341.80388</v>
      </c>
      <c r="W44" s="177">
        <f t="shared" ref="W44:X44" si="32">C44/100</f>
        <v>1.02</v>
      </c>
      <c r="X44" s="177">
        <f t="shared" si="32"/>
        <v>2.04</v>
      </c>
      <c r="Y44" s="177">
        <f t="shared" si="14"/>
        <v>28.66</v>
      </c>
      <c r="Z44" s="191">
        <f t="shared" si="15"/>
        <v>59.635728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55</v>
      </c>
      <c r="C45" s="192">
        <v>100.0</v>
      </c>
      <c r="D45" s="192">
        <v>204.0</v>
      </c>
      <c r="E45" s="192">
        <v>2866.0</v>
      </c>
      <c r="F45" s="192">
        <f t="shared" si="5"/>
        <v>0</v>
      </c>
      <c r="G45" s="192">
        <f t="shared" si="6"/>
        <v>1315.494</v>
      </c>
      <c r="H45" s="193">
        <f t="shared" si="7"/>
        <v>1315.494</v>
      </c>
      <c r="I45" s="192">
        <v>1.0</v>
      </c>
      <c r="J45" s="194">
        <f t="shared" si="8"/>
        <v>1315.494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1325.0</v>
      </c>
      <c r="R45" s="189">
        <v>22.5</v>
      </c>
      <c r="S45" s="177">
        <f t="shared" si="9"/>
        <v>28.66</v>
      </c>
      <c r="T45" s="160">
        <f t="shared" si="10"/>
        <v>1</v>
      </c>
      <c r="U45" s="160">
        <f t="shared" si="11"/>
        <v>28.66</v>
      </c>
      <c r="V45" s="190">
        <f t="shared" si="12"/>
        <v>1315.494</v>
      </c>
      <c r="W45" s="177">
        <f t="shared" ref="W45:X45" si="33">C45/100</f>
        <v>1</v>
      </c>
      <c r="X45" s="177">
        <f t="shared" si="33"/>
        <v>2.04</v>
      </c>
      <c r="Y45" s="177">
        <f t="shared" si="14"/>
        <v>28.66</v>
      </c>
      <c r="Z45" s="191">
        <f t="shared" si="15"/>
        <v>58.4664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2" t="s">
        <v>55</v>
      </c>
      <c r="C46" s="192">
        <v>100.0</v>
      </c>
      <c r="D46" s="192">
        <v>204.0</v>
      </c>
      <c r="E46" s="192">
        <v>2866.0</v>
      </c>
      <c r="F46" s="192">
        <f t="shared" si="5"/>
        <v>0</v>
      </c>
      <c r="G46" s="192">
        <f t="shared" si="6"/>
        <v>1315.494</v>
      </c>
      <c r="H46" s="193">
        <f t="shared" si="7"/>
        <v>1315.494</v>
      </c>
      <c r="I46" s="192">
        <v>1.0</v>
      </c>
      <c r="J46" s="194">
        <f t="shared" si="8"/>
        <v>1315.494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1315.0</v>
      </c>
      <c r="R46" s="189">
        <v>22.5</v>
      </c>
      <c r="S46" s="177">
        <f t="shared" si="9"/>
        <v>28.66</v>
      </c>
      <c r="T46" s="160">
        <f t="shared" si="10"/>
        <v>1</v>
      </c>
      <c r="U46" s="160">
        <f t="shared" si="11"/>
        <v>28.66</v>
      </c>
      <c r="V46" s="190">
        <f t="shared" si="12"/>
        <v>1315.494</v>
      </c>
      <c r="W46" s="177">
        <f t="shared" ref="W46:X46" si="34">C46/100</f>
        <v>1</v>
      </c>
      <c r="X46" s="177">
        <f t="shared" si="34"/>
        <v>2.04</v>
      </c>
      <c r="Y46" s="177">
        <f t="shared" si="14"/>
        <v>28.66</v>
      </c>
      <c r="Z46" s="191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2" t="s">
        <v>55</v>
      </c>
      <c r="C47" s="192">
        <v>100.0</v>
      </c>
      <c r="D47" s="192">
        <v>204.0</v>
      </c>
      <c r="E47" s="192">
        <v>2886.0</v>
      </c>
      <c r="F47" s="192">
        <f t="shared" si="5"/>
        <v>0</v>
      </c>
      <c r="G47" s="192">
        <f t="shared" si="6"/>
        <v>1324.674</v>
      </c>
      <c r="H47" s="193">
        <f t="shared" si="7"/>
        <v>1324.674</v>
      </c>
      <c r="I47" s="192">
        <v>1.0</v>
      </c>
      <c r="J47" s="194">
        <f t="shared" si="8"/>
        <v>1324.674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1330.0</v>
      </c>
      <c r="R47" s="189">
        <v>22.5</v>
      </c>
      <c r="S47" s="177">
        <f t="shared" si="9"/>
        <v>28.86</v>
      </c>
      <c r="T47" s="160">
        <f t="shared" si="10"/>
        <v>1</v>
      </c>
      <c r="U47" s="160">
        <f t="shared" si="11"/>
        <v>28.86</v>
      </c>
      <c r="V47" s="190">
        <f t="shared" si="12"/>
        <v>1324.674</v>
      </c>
      <c r="W47" s="177">
        <f t="shared" ref="W47:X47" si="35">C47/100</f>
        <v>1</v>
      </c>
      <c r="X47" s="177">
        <f t="shared" si="35"/>
        <v>2.04</v>
      </c>
      <c r="Y47" s="177">
        <f t="shared" si="14"/>
        <v>28.86</v>
      </c>
      <c r="Z47" s="191">
        <f t="shared" si="15"/>
        <v>58.8744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82" t="s">
        <v>63</v>
      </c>
      <c r="C48" s="183">
        <v>80.0</v>
      </c>
      <c r="D48" s="183">
        <v>204.0</v>
      </c>
      <c r="E48" s="183">
        <v>182.0</v>
      </c>
      <c r="F48" s="183">
        <f t="shared" si="5"/>
        <v>0</v>
      </c>
      <c r="G48" s="183">
        <f t="shared" si="6"/>
        <v>75.74112</v>
      </c>
      <c r="H48" s="184">
        <f t="shared" si="7"/>
        <v>75.74112</v>
      </c>
      <c r="I48" s="183">
        <v>1.0</v>
      </c>
      <c r="J48" s="185">
        <f t="shared" si="8"/>
        <v>75.74112</v>
      </c>
      <c r="K48" s="186"/>
      <c r="L48" s="187">
        <f t="shared" si="17"/>
        <v>5.1816</v>
      </c>
      <c r="M48" s="188">
        <f t="shared" si="18"/>
        <v>1</v>
      </c>
      <c r="N48" s="188">
        <f t="shared" si="19"/>
        <v>5.1816</v>
      </c>
      <c r="O48" s="186"/>
      <c r="P48" s="186"/>
      <c r="Q48" s="187">
        <v>93.0</v>
      </c>
      <c r="R48" s="189">
        <v>25.5</v>
      </c>
      <c r="S48" s="177">
        <f t="shared" si="9"/>
        <v>1.82</v>
      </c>
      <c r="T48" s="160">
        <f t="shared" si="10"/>
        <v>1</v>
      </c>
      <c r="U48" s="160">
        <f t="shared" si="11"/>
        <v>1.82</v>
      </c>
      <c r="V48" s="190">
        <f t="shared" si="12"/>
        <v>75.74112</v>
      </c>
      <c r="W48" s="177">
        <f t="shared" ref="W48:X48" si="36">C48/100</f>
        <v>0.8</v>
      </c>
      <c r="X48" s="177">
        <f t="shared" si="36"/>
        <v>2.04</v>
      </c>
      <c r="Y48" s="177">
        <f t="shared" si="14"/>
        <v>1.82</v>
      </c>
      <c r="Z48" s="191">
        <f t="shared" si="15"/>
        <v>2.97024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2" t="s">
        <v>63</v>
      </c>
      <c r="C49" s="192">
        <v>99.0</v>
      </c>
      <c r="D49" s="192">
        <v>204.0</v>
      </c>
      <c r="E49" s="192">
        <v>201.0</v>
      </c>
      <c r="F49" s="192">
        <f t="shared" si="5"/>
        <v>0</v>
      </c>
      <c r="G49" s="192">
        <f t="shared" si="6"/>
        <v>103.514598</v>
      </c>
      <c r="H49" s="193">
        <f t="shared" si="7"/>
        <v>103.514598</v>
      </c>
      <c r="I49" s="192">
        <v>1.0</v>
      </c>
      <c r="J49" s="194">
        <f t="shared" si="8"/>
        <v>103.514598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104.0</v>
      </c>
      <c r="R49" s="189">
        <v>25.5</v>
      </c>
      <c r="S49" s="177">
        <f t="shared" si="9"/>
        <v>2.01</v>
      </c>
      <c r="T49" s="160">
        <f t="shared" si="10"/>
        <v>1</v>
      </c>
      <c r="U49" s="160">
        <f t="shared" si="11"/>
        <v>2.01</v>
      </c>
      <c r="V49" s="190">
        <f t="shared" si="12"/>
        <v>103.514598</v>
      </c>
      <c r="W49" s="177">
        <f t="shared" ref="W49:X49" si="37">C49/100</f>
        <v>0.99</v>
      </c>
      <c r="X49" s="177">
        <f t="shared" si="37"/>
        <v>2.04</v>
      </c>
      <c r="Y49" s="177">
        <f t="shared" si="14"/>
        <v>2.01</v>
      </c>
      <c r="Z49" s="191">
        <f t="shared" si="15"/>
        <v>4.059396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2" t="s">
        <v>63</v>
      </c>
      <c r="C50" s="192">
        <v>89.0</v>
      </c>
      <c r="D50" s="192">
        <v>204.0</v>
      </c>
      <c r="E50" s="192">
        <v>143.0</v>
      </c>
      <c r="F50" s="192">
        <f t="shared" si="5"/>
        <v>0</v>
      </c>
      <c r="G50" s="192">
        <f t="shared" si="6"/>
        <v>66.205854</v>
      </c>
      <c r="H50" s="193">
        <f t="shared" si="7"/>
        <v>66.205854</v>
      </c>
      <c r="I50" s="192">
        <v>1.0</v>
      </c>
      <c r="J50" s="194">
        <f t="shared" si="8"/>
        <v>66.205854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73.0</v>
      </c>
      <c r="R50" s="189">
        <v>25.5</v>
      </c>
      <c r="S50" s="177">
        <f t="shared" si="9"/>
        <v>1.43</v>
      </c>
      <c r="T50" s="160">
        <f t="shared" si="10"/>
        <v>1</v>
      </c>
      <c r="U50" s="160">
        <f t="shared" si="11"/>
        <v>1.43</v>
      </c>
      <c r="V50" s="190">
        <f t="shared" si="12"/>
        <v>66.205854</v>
      </c>
      <c r="W50" s="177">
        <f t="shared" ref="W50:X50" si="38">C50/100</f>
        <v>0.89</v>
      </c>
      <c r="X50" s="177">
        <f t="shared" si="38"/>
        <v>2.04</v>
      </c>
      <c r="Y50" s="177">
        <f t="shared" si="14"/>
        <v>1.43</v>
      </c>
      <c r="Z50" s="191">
        <f t="shared" si="15"/>
        <v>2.596308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2" t="s">
        <v>63</v>
      </c>
      <c r="C51" s="192">
        <v>101.0</v>
      </c>
      <c r="D51" s="192">
        <v>204.0</v>
      </c>
      <c r="E51" s="192">
        <v>135.0</v>
      </c>
      <c r="F51" s="192">
        <f t="shared" si="5"/>
        <v>0</v>
      </c>
      <c r="G51" s="192">
        <f t="shared" si="6"/>
        <v>70.92927</v>
      </c>
      <c r="H51" s="193">
        <f t="shared" si="7"/>
        <v>70.92927</v>
      </c>
      <c r="I51" s="192">
        <v>1.0</v>
      </c>
      <c r="J51" s="194">
        <f t="shared" si="8"/>
        <v>70.92927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105.0</v>
      </c>
      <c r="R51" s="189">
        <v>25.5</v>
      </c>
      <c r="S51" s="177">
        <f t="shared" si="9"/>
        <v>1.35</v>
      </c>
      <c r="T51" s="160">
        <f t="shared" si="10"/>
        <v>1</v>
      </c>
      <c r="U51" s="160">
        <f t="shared" si="11"/>
        <v>1.35</v>
      </c>
      <c r="V51" s="190">
        <f t="shared" si="12"/>
        <v>70.92927</v>
      </c>
      <c r="W51" s="177">
        <f t="shared" ref="W51:X51" si="39">C51/100</f>
        <v>1.01</v>
      </c>
      <c r="X51" s="177">
        <f t="shared" si="39"/>
        <v>2.04</v>
      </c>
      <c r="Y51" s="177">
        <f t="shared" si="14"/>
        <v>1.35</v>
      </c>
      <c r="Z51" s="191">
        <f t="shared" si="15"/>
        <v>2.78154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2" t="s">
        <v>63</v>
      </c>
      <c r="C52" s="192">
        <v>103.0</v>
      </c>
      <c r="D52" s="192">
        <v>204.0</v>
      </c>
      <c r="E52" s="192">
        <v>2855.0</v>
      </c>
      <c r="F52" s="192">
        <f t="shared" si="5"/>
        <v>0</v>
      </c>
      <c r="G52" s="192">
        <f t="shared" si="6"/>
        <v>1529.72613</v>
      </c>
      <c r="H52" s="193">
        <f t="shared" si="7"/>
        <v>1529.72613</v>
      </c>
      <c r="I52" s="192">
        <v>1.0</v>
      </c>
      <c r="J52" s="194">
        <f t="shared" si="8"/>
        <v>1529.72613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1520.0</v>
      </c>
      <c r="R52" s="189">
        <v>25.5</v>
      </c>
      <c r="S52" s="177">
        <f t="shared" si="9"/>
        <v>28.55</v>
      </c>
      <c r="T52" s="160">
        <f t="shared" si="10"/>
        <v>1</v>
      </c>
      <c r="U52" s="160">
        <f t="shared" si="11"/>
        <v>28.55</v>
      </c>
      <c r="V52" s="190">
        <f t="shared" si="12"/>
        <v>1529.72613</v>
      </c>
      <c r="W52" s="177">
        <f t="shared" ref="W52:X52" si="40">C52/100</f>
        <v>1.03</v>
      </c>
      <c r="X52" s="177">
        <f t="shared" si="40"/>
        <v>2.04</v>
      </c>
      <c r="Y52" s="177">
        <f t="shared" si="14"/>
        <v>28.55</v>
      </c>
      <c r="Z52" s="191">
        <f t="shared" si="15"/>
        <v>59.98926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6">C58/100</f>
        <v>0</v>
      </c>
      <c r="X58" s="177">
        <f t="shared" si="46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7">C59/100</f>
        <v>0</v>
      </c>
      <c r="X59" s="177">
        <f t="shared" si="47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8">C60/100</f>
        <v>0</v>
      </c>
      <c r="X60" s="177">
        <f t="shared" si="48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9">C61/100</f>
        <v>0</v>
      </c>
      <c r="X61" s="177">
        <f t="shared" si="49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77">
        <f t="shared" ref="L62:L63" si="51">D62*25.4/1000</f>
        <v>0</v>
      </c>
      <c r="M62" s="160" t="str">
        <f t="shared" ref="M62:M77" si="52">+I62</f>
        <v/>
      </c>
      <c r="N62" s="160">
        <f t="shared" ref="N62:N63" si="53">M62*L62</f>
        <v>0</v>
      </c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0">C62/100</f>
        <v>0</v>
      </c>
      <c r="X62" s="177">
        <f t="shared" si="50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>
        <f t="shared" si="51"/>
        <v>0</v>
      </c>
      <c r="M63" s="196" t="str">
        <f t="shared" si="52"/>
        <v/>
      </c>
      <c r="N63" s="196">
        <f t="shared" si="53"/>
        <v>0</v>
      </c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2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2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2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2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2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2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0">C69/100</f>
        <v>0</v>
      </c>
      <c r="X69" s="177">
        <f t="shared" si="60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2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1">C70/100</f>
        <v>0</v>
      </c>
      <c r="X70" s="177">
        <f t="shared" si="61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2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2">C71/100</f>
        <v>0</v>
      </c>
      <c r="X71" s="177">
        <f t="shared" si="62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2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3">C72/100</f>
        <v>0</v>
      </c>
      <c r="X72" s="177">
        <f t="shared" si="63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2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4">C73/100</f>
        <v>0</v>
      </c>
      <c r="X73" s="177">
        <f t="shared" si="64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2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2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2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2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7">C216/100</f>
        <v>0</v>
      </c>
      <c r="X216" s="197">
        <f t="shared" si="207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8">C217/100</f>
        <v>0</v>
      </c>
      <c r="X217" s="197">
        <f t="shared" si="208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9">C218/100</f>
        <v>0</v>
      </c>
      <c r="X218" s="197">
        <f t="shared" si="209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0">C219/100</f>
        <v>0</v>
      </c>
      <c r="X219" s="197">
        <f t="shared" si="210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177"/>
      <c r="C220" s="177"/>
      <c r="D220" s="177"/>
      <c r="E220" s="177"/>
      <c r="F220" s="177"/>
      <c r="G220" s="177"/>
      <c r="H220" s="180"/>
      <c r="I220" s="160"/>
      <c r="J220" s="202">
        <f>+Q279</f>
        <v>49.6</v>
      </c>
      <c r="K220" s="139"/>
      <c r="L220" s="139"/>
      <c r="M220" s="139"/>
      <c r="N220" s="139"/>
      <c r="O220" s="139"/>
      <c r="P220" s="139"/>
      <c r="Q220" s="139"/>
      <c r="R220" s="203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1">C220/100</f>
        <v>0</v>
      </c>
      <c r="X220" s="197">
        <f t="shared" si="211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204"/>
      <c r="C221" s="204"/>
      <c r="D221" s="204"/>
      <c r="E221" s="204"/>
      <c r="F221" s="204"/>
      <c r="G221" s="204"/>
      <c r="H221" s="205"/>
      <c r="I221" s="206">
        <f>SUM(I29:I219)</f>
        <v>24</v>
      </c>
      <c r="J221" s="207">
        <f>SUM(J29:J220)</f>
        <v>21980.6252</v>
      </c>
      <c r="K221" s="208"/>
      <c r="L221" s="208"/>
      <c r="M221" s="208"/>
      <c r="N221" s="208"/>
      <c r="O221" s="208"/>
      <c r="P221" s="208"/>
      <c r="Q221" s="208"/>
      <c r="R221" s="141"/>
      <c r="S221" s="208">
        <f>SUMIFS($T$29:$T$219,$S$29:$S$219,"&gt;=3")</f>
        <v>16</v>
      </c>
      <c r="T221" s="208">
        <f t="shared" ref="T221:U221" si="212">SUM(T29:T219)</f>
        <v>24</v>
      </c>
      <c r="U221" s="208">
        <f t="shared" si="212"/>
        <v>469.8</v>
      </c>
      <c r="V221" s="208"/>
      <c r="W221" s="208"/>
      <c r="X221" s="208"/>
      <c r="Y221" s="208"/>
      <c r="Z221" s="209">
        <f>SUM(Z29:Z220)</f>
        <v>965.059332</v>
      </c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  <c r="AO221" s="208"/>
      <c r="AP221" s="208"/>
      <c r="AQ221" s="208"/>
      <c r="AR221" s="208"/>
      <c r="AS221" s="208"/>
      <c r="AT221" s="208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201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3"/>
      <c r="S223" s="139"/>
      <c r="T223" s="139" t="s">
        <v>48</v>
      </c>
      <c r="U223" s="139" t="s">
        <v>59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10">
        <f>SUMIFS($J$29:$J$219,$S$29:$S$219,"&gt;=3")</f>
        <v>21340.77201</v>
      </c>
      <c r="U224" s="211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12">
        <f>J221-T224</f>
        <v>639.853192</v>
      </c>
      <c r="U225" s="211">
        <f>+SUMIFS($U$29:$U$219,$S$29:$S$219,"&gt;=3")</f>
        <v>456.46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213">
        <f>+I221</f>
        <v>24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7"/>
      <c r="B227" s="160" t="s">
        <v>12</v>
      </c>
      <c r="C227" s="178" t="s">
        <v>60</v>
      </c>
      <c r="D227" s="52"/>
      <c r="E227" s="53"/>
      <c r="F227" s="179"/>
      <c r="G227" s="179"/>
      <c r="H227" s="180" t="s">
        <v>14</v>
      </c>
      <c r="I227" s="160" t="s">
        <v>15</v>
      </c>
      <c r="J227" s="160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1.0</v>
      </c>
      <c r="B228" s="214"/>
      <c r="C228" s="214"/>
      <c r="D228" s="214"/>
      <c r="E228" s="214"/>
      <c r="F228" s="214">
        <f t="shared" ref="F228:F241" si="213">1-VALUE(IF(RIGHT(B228, 1)="%", RIGHT(B228, 3), 0))</f>
        <v>1</v>
      </c>
      <c r="G228" s="214">
        <f t="shared" ref="G228:G241" si="214">+Q228*C228/100*D228/100*E228/100</f>
        <v>0</v>
      </c>
      <c r="H228" s="215">
        <f t="shared" ref="H228:H241" si="215">IF(F228=0, G228, F228*G228)</f>
        <v>0</v>
      </c>
      <c r="I228" s="214"/>
      <c r="J228" s="216"/>
      <c r="K228" s="139"/>
      <c r="L228" s="177">
        <f t="shared" ref="L228:L236" si="216">D228*25.4/1000</f>
        <v>0</v>
      </c>
      <c r="M228" s="160" t="str">
        <f t="shared" ref="M228:M232" si="217">+I228</f>
        <v/>
      </c>
      <c r="N228" s="160">
        <f t="shared" ref="N228:N232" si="218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2.0</v>
      </c>
      <c r="B229" s="214"/>
      <c r="C229" s="214"/>
      <c r="D229" s="214"/>
      <c r="E229" s="214"/>
      <c r="F229" s="214">
        <f t="shared" si="213"/>
        <v>1</v>
      </c>
      <c r="G229" s="214">
        <f t="shared" si="214"/>
        <v>0</v>
      </c>
      <c r="H229" s="215">
        <f t="shared" si="215"/>
        <v>0</v>
      </c>
      <c r="I229" s="214"/>
      <c r="J229" s="216">
        <f t="shared" ref="J229:J241" si="219">+I229*H229</f>
        <v>0</v>
      </c>
      <c r="K229" s="139"/>
      <c r="L229" s="177">
        <f t="shared" si="216"/>
        <v>0</v>
      </c>
      <c r="M229" s="160" t="str">
        <f t="shared" si="217"/>
        <v/>
      </c>
      <c r="N229" s="160">
        <f t="shared" si="218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3.0</v>
      </c>
      <c r="B230" s="217"/>
      <c r="C230" s="217"/>
      <c r="D230" s="217"/>
      <c r="E230" s="217"/>
      <c r="F230" s="217">
        <f t="shared" si="213"/>
        <v>1</v>
      </c>
      <c r="G230" s="217">
        <f t="shared" si="214"/>
        <v>0</v>
      </c>
      <c r="H230" s="218">
        <f t="shared" si="215"/>
        <v>0</v>
      </c>
      <c r="I230" s="217"/>
      <c r="J230" s="194">
        <f t="shared" si="219"/>
        <v>0</v>
      </c>
      <c r="K230" s="139"/>
      <c r="L230" s="177">
        <f t="shared" si="216"/>
        <v>0</v>
      </c>
      <c r="M230" s="160" t="str">
        <f t="shared" si="217"/>
        <v/>
      </c>
      <c r="N230" s="160">
        <f t="shared" si="218"/>
        <v>0</v>
      </c>
      <c r="O230" s="139"/>
      <c r="P230" s="139"/>
      <c r="Q230" s="139"/>
      <c r="R230" s="139"/>
      <c r="S230" s="21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4.0</v>
      </c>
      <c r="B231" s="217"/>
      <c r="C231" s="217"/>
      <c r="D231" s="217"/>
      <c r="E231" s="217"/>
      <c r="F231" s="217">
        <f t="shared" si="213"/>
        <v>1</v>
      </c>
      <c r="G231" s="217">
        <f t="shared" si="214"/>
        <v>0</v>
      </c>
      <c r="H231" s="218">
        <f t="shared" si="215"/>
        <v>0</v>
      </c>
      <c r="I231" s="217"/>
      <c r="J231" s="194">
        <f t="shared" si="219"/>
        <v>0</v>
      </c>
      <c r="K231" s="139"/>
      <c r="L231" s="177">
        <f t="shared" si="216"/>
        <v>0</v>
      </c>
      <c r="M231" s="160" t="str">
        <f t="shared" si="217"/>
        <v/>
      </c>
      <c r="N231" s="160">
        <f t="shared" si="218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5.0</v>
      </c>
      <c r="B232" s="217"/>
      <c r="C232" s="217"/>
      <c r="D232" s="217"/>
      <c r="E232" s="217"/>
      <c r="F232" s="217">
        <f t="shared" si="213"/>
        <v>1</v>
      </c>
      <c r="G232" s="217">
        <f t="shared" si="214"/>
        <v>0</v>
      </c>
      <c r="H232" s="218">
        <f t="shared" si="215"/>
        <v>0</v>
      </c>
      <c r="I232" s="217"/>
      <c r="J232" s="194">
        <f t="shared" si="219"/>
        <v>0</v>
      </c>
      <c r="K232" s="139"/>
      <c r="L232" s="177">
        <f t="shared" si="216"/>
        <v>0</v>
      </c>
      <c r="M232" s="160" t="str">
        <f t="shared" si="217"/>
        <v/>
      </c>
      <c r="N232" s="160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6.0</v>
      </c>
      <c r="B233" s="217"/>
      <c r="C233" s="217"/>
      <c r="D233" s="217"/>
      <c r="E233" s="217"/>
      <c r="F233" s="217">
        <f t="shared" si="213"/>
        <v>1</v>
      </c>
      <c r="G233" s="217">
        <f t="shared" si="214"/>
        <v>0</v>
      </c>
      <c r="H233" s="218">
        <f t="shared" si="215"/>
        <v>0</v>
      </c>
      <c r="I233" s="217"/>
      <c r="J233" s="194">
        <f t="shared" si="219"/>
        <v>0</v>
      </c>
      <c r="K233" s="139"/>
      <c r="L233" s="139">
        <f t="shared" si="216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7.0</v>
      </c>
      <c r="B234" s="217"/>
      <c r="C234" s="217"/>
      <c r="D234" s="217"/>
      <c r="E234" s="217"/>
      <c r="F234" s="217">
        <f t="shared" si="213"/>
        <v>1</v>
      </c>
      <c r="G234" s="217">
        <f t="shared" si="214"/>
        <v>0</v>
      </c>
      <c r="H234" s="218">
        <f t="shared" si="215"/>
        <v>0</v>
      </c>
      <c r="I234" s="217"/>
      <c r="J234" s="194">
        <f t="shared" si="219"/>
        <v>0</v>
      </c>
      <c r="K234" s="139"/>
      <c r="L234" s="139">
        <f t="shared" si="216"/>
        <v>0</v>
      </c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8.0</v>
      </c>
      <c r="B235" s="217"/>
      <c r="C235" s="217"/>
      <c r="D235" s="217"/>
      <c r="E235" s="217"/>
      <c r="F235" s="217">
        <f t="shared" si="213"/>
        <v>1</v>
      </c>
      <c r="G235" s="217">
        <f t="shared" si="214"/>
        <v>0</v>
      </c>
      <c r="H235" s="218">
        <f t="shared" si="215"/>
        <v>0</v>
      </c>
      <c r="I235" s="217"/>
      <c r="J235" s="194">
        <f t="shared" si="219"/>
        <v>0</v>
      </c>
      <c r="K235" s="139"/>
      <c r="L235" s="139">
        <f t="shared" si="216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9.0</v>
      </c>
      <c r="B236" s="217"/>
      <c r="C236" s="217"/>
      <c r="D236" s="217"/>
      <c r="E236" s="217"/>
      <c r="F236" s="217">
        <f t="shared" si="213"/>
        <v>1</v>
      </c>
      <c r="G236" s="217">
        <f t="shared" si="214"/>
        <v>0</v>
      </c>
      <c r="H236" s="218">
        <f t="shared" si="215"/>
        <v>0</v>
      </c>
      <c r="I236" s="217"/>
      <c r="J236" s="194">
        <f t="shared" si="219"/>
        <v>0</v>
      </c>
      <c r="K236" s="139"/>
      <c r="L236" s="139">
        <f t="shared" si="216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10.0</v>
      </c>
      <c r="B237" s="192"/>
      <c r="C237" s="192"/>
      <c r="D237" s="192"/>
      <c r="E237" s="192"/>
      <c r="F237" s="192">
        <f t="shared" si="213"/>
        <v>1</v>
      </c>
      <c r="G237" s="192">
        <f t="shared" si="214"/>
        <v>0</v>
      </c>
      <c r="H237" s="193">
        <f t="shared" si="215"/>
        <v>0</v>
      </c>
      <c r="I237" s="192"/>
      <c r="J237" s="194">
        <f t="shared" si="219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11.0</v>
      </c>
      <c r="B238" s="192"/>
      <c r="C238" s="192"/>
      <c r="D238" s="192"/>
      <c r="E238" s="192"/>
      <c r="F238" s="192">
        <f t="shared" si="213"/>
        <v>1</v>
      </c>
      <c r="G238" s="192">
        <f t="shared" si="214"/>
        <v>0</v>
      </c>
      <c r="H238" s="193">
        <f t="shared" si="215"/>
        <v>0</v>
      </c>
      <c r="I238" s="192"/>
      <c r="J238" s="194">
        <f t="shared" si="219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12.0</v>
      </c>
      <c r="B239" s="192"/>
      <c r="C239" s="192"/>
      <c r="D239" s="192"/>
      <c r="E239" s="192"/>
      <c r="F239" s="192">
        <f t="shared" si="213"/>
        <v>1</v>
      </c>
      <c r="G239" s="192">
        <f t="shared" si="214"/>
        <v>0</v>
      </c>
      <c r="H239" s="193">
        <f t="shared" si="215"/>
        <v>0</v>
      </c>
      <c r="I239" s="192"/>
      <c r="J239" s="194">
        <f t="shared" si="219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13.0</v>
      </c>
      <c r="B240" s="192"/>
      <c r="C240" s="192"/>
      <c r="D240" s="192"/>
      <c r="E240" s="192"/>
      <c r="F240" s="192">
        <f t="shared" si="213"/>
        <v>1</v>
      </c>
      <c r="G240" s="192">
        <f t="shared" si="214"/>
        <v>0</v>
      </c>
      <c r="H240" s="193">
        <f t="shared" si="215"/>
        <v>0</v>
      </c>
      <c r="I240" s="192"/>
      <c r="J240" s="194">
        <f t="shared" si="219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14.0</v>
      </c>
      <c r="B241" s="192"/>
      <c r="C241" s="192"/>
      <c r="D241" s="192"/>
      <c r="E241" s="192"/>
      <c r="F241" s="192">
        <f t="shared" si="213"/>
        <v>1</v>
      </c>
      <c r="G241" s="192">
        <f t="shared" si="214"/>
        <v>0</v>
      </c>
      <c r="H241" s="193">
        <f t="shared" si="215"/>
        <v>0</v>
      </c>
      <c r="I241" s="192"/>
      <c r="J241" s="194">
        <f t="shared" si="219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/>
      <c r="B242" s="195"/>
      <c r="C242" s="195"/>
      <c r="D242" s="195"/>
      <c r="E242" s="195"/>
      <c r="F242" s="195"/>
      <c r="G242" s="195"/>
      <c r="H242" s="221" t="s">
        <v>38</v>
      </c>
      <c r="I242" s="195"/>
      <c r="J242" s="222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4"/>
      <c r="B243" s="144"/>
      <c r="C243" s="144"/>
      <c r="D243" s="144"/>
      <c r="E243" s="144"/>
      <c r="F243" s="144"/>
      <c r="G243" s="144"/>
      <c r="H243" s="145"/>
      <c r="I243" s="144"/>
      <c r="J243" s="175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7"/>
      <c r="B248" s="160" t="s">
        <v>12</v>
      </c>
      <c r="C248" s="178" t="s">
        <v>61</v>
      </c>
      <c r="D248" s="52"/>
      <c r="E248" s="53"/>
      <c r="F248" s="224"/>
      <c r="G248" s="224"/>
      <c r="H248" s="180" t="s">
        <v>14</v>
      </c>
      <c r="I248" s="225" t="s">
        <v>15</v>
      </c>
      <c r="J248" s="160" t="s">
        <v>16</v>
      </c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1.0</v>
      </c>
      <c r="B249" s="182" t="s">
        <v>55</v>
      </c>
      <c r="C249" s="198"/>
      <c r="D249" s="198"/>
      <c r="E249" s="198"/>
      <c r="F249" s="198"/>
      <c r="G249" s="198"/>
      <c r="H249" s="226">
        <v>30.0</v>
      </c>
      <c r="I249" s="198">
        <v>1.0</v>
      </c>
      <c r="J249" s="194">
        <f t="shared" ref="J249:J277" si="220">+I249*H249</f>
        <v>30</v>
      </c>
      <c r="K249" s="177"/>
      <c r="L249" s="177"/>
      <c r="M249" s="177"/>
      <c r="N249" s="177"/>
      <c r="O249" s="177"/>
      <c r="P249" s="177"/>
      <c r="Q249" s="227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2.0</v>
      </c>
      <c r="B250" s="192" t="s">
        <v>55</v>
      </c>
      <c r="C250" s="198"/>
      <c r="D250" s="198"/>
      <c r="E250" s="198"/>
      <c r="F250" s="198"/>
      <c r="G250" s="198"/>
      <c r="H250" s="226">
        <v>19.0</v>
      </c>
      <c r="I250" s="198">
        <v>1.0</v>
      </c>
      <c r="J250" s="194">
        <f t="shared" si="220"/>
        <v>19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3.0</v>
      </c>
      <c r="B251" s="182" t="s">
        <v>63</v>
      </c>
      <c r="C251" s="198"/>
      <c r="D251" s="198"/>
      <c r="E251" s="198"/>
      <c r="F251" s="198"/>
      <c r="G251" s="198"/>
      <c r="H251" s="226">
        <v>41.0</v>
      </c>
      <c r="I251" s="198">
        <v>1.0</v>
      </c>
      <c r="J251" s="194">
        <f t="shared" si="220"/>
        <v>41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4.0</v>
      </c>
      <c r="B252" s="192" t="s">
        <v>63</v>
      </c>
      <c r="C252" s="198"/>
      <c r="D252" s="198"/>
      <c r="E252" s="198"/>
      <c r="F252" s="198"/>
      <c r="G252" s="198"/>
      <c r="H252" s="226">
        <v>34.0</v>
      </c>
      <c r="I252" s="198">
        <v>1.0</v>
      </c>
      <c r="J252" s="194">
        <f t="shared" si="220"/>
        <v>34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11.0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20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12.0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20"/>
        <v>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13.0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20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14.0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20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15.0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20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16.0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20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17.0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0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18.0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0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19.0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0"/>
        <v>0</v>
      </c>
      <c r="K261" s="177"/>
      <c r="L261" s="177"/>
      <c r="M261" s="177"/>
      <c r="N261" s="177"/>
      <c r="O261" s="177"/>
      <c r="P261" s="177"/>
      <c r="Q261" s="227"/>
      <c r="R261" s="140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20.0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0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21.0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0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22.0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0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23.0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0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24.0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0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25.0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0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26.0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0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27.0</v>
      </c>
      <c r="B269" s="228"/>
      <c r="C269" s="198"/>
      <c r="D269" s="198"/>
      <c r="E269" s="198"/>
      <c r="F269" s="198"/>
      <c r="G269" s="198"/>
      <c r="H269" s="198"/>
      <c r="I269" s="198"/>
      <c r="J269" s="194">
        <f t="shared" si="220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28.0</v>
      </c>
      <c r="B270" s="228"/>
      <c r="C270" s="198"/>
      <c r="D270" s="198"/>
      <c r="E270" s="198"/>
      <c r="F270" s="198"/>
      <c r="G270" s="198"/>
      <c r="H270" s="198"/>
      <c r="I270" s="198"/>
      <c r="J270" s="194">
        <f t="shared" si="220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29.0</v>
      </c>
      <c r="B271" s="229"/>
      <c r="C271" s="198"/>
      <c r="D271" s="198"/>
      <c r="E271" s="198"/>
      <c r="F271" s="198"/>
      <c r="G271" s="198"/>
      <c r="H271" s="198"/>
      <c r="I271" s="198"/>
      <c r="J271" s="194">
        <f t="shared" si="220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30.0</v>
      </c>
      <c r="B272" s="229"/>
      <c r="C272" s="198"/>
      <c r="D272" s="198"/>
      <c r="E272" s="198"/>
      <c r="F272" s="198"/>
      <c r="G272" s="198"/>
      <c r="H272" s="226"/>
      <c r="I272" s="198"/>
      <c r="J272" s="194">
        <f t="shared" si="220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31.0</v>
      </c>
      <c r="B273" s="217"/>
      <c r="C273" s="198"/>
      <c r="D273" s="198"/>
      <c r="E273" s="198"/>
      <c r="F273" s="198"/>
      <c r="G273" s="198"/>
      <c r="H273" s="226"/>
      <c r="I273" s="198"/>
      <c r="J273" s="194">
        <f t="shared" si="220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32.0</v>
      </c>
      <c r="B274" s="217"/>
      <c r="C274" s="160"/>
      <c r="D274" s="160"/>
      <c r="E274" s="160"/>
      <c r="F274" s="160"/>
      <c r="G274" s="160"/>
      <c r="H274" s="160"/>
      <c r="I274" s="160"/>
      <c r="J274" s="194">
        <f t="shared" si="220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33.0</v>
      </c>
      <c r="B275" s="229"/>
      <c r="C275" s="160"/>
      <c r="D275" s="160"/>
      <c r="E275" s="160"/>
      <c r="F275" s="160"/>
      <c r="G275" s="160"/>
      <c r="H275" s="160"/>
      <c r="I275" s="160"/>
      <c r="J275" s="194">
        <f t="shared" si="220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34.0</v>
      </c>
      <c r="B276" s="230"/>
      <c r="C276" s="160"/>
      <c r="D276" s="160"/>
      <c r="E276" s="160"/>
      <c r="F276" s="160"/>
      <c r="G276" s="160"/>
      <c r="H276" s="160"/>
      <c r="I276" s="160"/>
      <c r="J276" s="194">
        <f t="shared" si="220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35.0</v>
      </c>
      <c r="B277" s="231"/>
      <c r="C277" s="160"/>
      <c r="D277" s="160"/>
      <c r="E277" s="160"/>
      <c r="F277" s="160"/>
      <c r="G277" s="160"/>
      <c r="H277" s="160"/>
      <c r="I277" s="160"/>
      <c r="J277" s="194">
        <f t="shared" si="220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 t="s">
        <v>38</v>
      </c>
      <c r="I278" s="139"/>
      <c r="J278" s="232">
        <f>SUM(J249:J277)</f>
        <v>124</v>
      </c>
      <c r="K278" s="233"/>
      <c r="L278" s="233"/>
      <c r="M278" s="233"/>
      <c r="N278" s="233"/>
      <c r="O278" s="233"/>
      <c r="P278" s="233"/>
      <c r="Q278" s="233"/>
      <c r="R278" s="139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44"/>
      <c r="B279" s="144"/>
      <c r="C279" s="144"/>
      <c r="D279" s="144"/>
      <c r="E279" s="144"/>
      <c r="F279" s="144"/>
      <c r="G279" s="144"/>
      <c r="H279" s="145"/>
      <c r="I279" s="173"/>
      <c r="J279" s="204">
        <f>+J278*60%</f>
        <v>74.4</v>
      </c>
      <c r="K279" s="204"/>
      <c r="L279" s="204"/>
      <c r="M279" s="204"/>
      <c r="N279" s="204"/>
      <c r="O279" s="204"/>
      <c r="P279" s="204"/>
      <c r="Q279" s="204">
        <f>+J278*40%</f>
        <v>49.6</v>
      </c>
      <c r="R279" s="139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34" t="s">
        <v>41</v>
      </c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57.0" customHeight="1">
      <c r="A283" s="235"/>
      <c r="B283" s="236" t="s">
        <v>42</v>
      </c>
      <c r="C283" s="236" t="s">
        <v>43</v>
      </c>
      <c r="D283" s="236" t="s">
        <v>44</v>
      </c>
      <c r="E283" s="236" t="s">
        <v>45</v>
      </c>
      <c r="F283" s="236"/>
      <c r="G283" s="236"/>
      <c r="H283" s="237" t="s">
        <v>46</v>
      </c>
      <c r="I283" s="238" t="s">
        <v>47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39" t="s">
        <v>48</v>
      </c>
      <c r="B284" s="240">
        <f>+E22</f>
        <v>24436.2732</v>
      </c>
      <c r="C284" s="241">
        <f>+J221</f>
        <v>21980.6252</v>
      </c>
      <c r="D284" s="241">
        <f>+J242</f>
        <v>0</v>
      </c>
      <c r="E284" s="242">
        <f>J279</f>
        <v>74.4</v>
      </c>
      <c r="F284" s="242"/>
      <c r="G284" s="242"/>
      <c r="H284" s="243">
        <f>+I22</f>
        <v>1918.036262</v>
      </c>
      <c r="I284" s="244">
        <f>+B284-C284-D284-E284-H284</f>
        <v>463.211736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45" t="s">
        <v>49</v>
      </c>
      <c r="B285" s="246"/>
      <c r="C285" s="247">
        <f>+C284/B284</f>
        <v>0.8995080806</v>
      </c>
      <c r="D285" s="247">
        <f>+D284/B284</f>
        <v>0</v>
      </c>
      <c r="E285" s="247">
        <f>+E284/B284</f>
        <v>0.003044654125</v>
      </c>
      <c r="F285" s="247"/>
      <c r="G285" s="247"/>
      <c r="H285" s="248">
        <f>+H284/B284</f>
        <v>0.07849135776</v>
      </c>
      <c r="I285" s="249">
        <f>+I284/B284</f>
        <v>0.01895590756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163"/>
      <c r="B286" s="220"/>
      <c r="C286" s="250"/>
      <c r="D286" s="250"/>
      <c r="E286" s="250"/>
      <c r="F286" s="250"/>
      <c r="G286" s="250"/>
      <c r="H286" s="251"/>
      <c r="I286" s="252"/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3"/>
      <c r="B287" s="254"/>
      <c r="C287" s="254"/>
      <c r="D287" s="254" t="s">
        <v>50</v>
      </c>
      <c r="E287" s="254" t="s">
        <v>48</v>
      </c>
      <c r="F287" s="254"/>
      <c r="G287" s="254"/>
      <c r="H287" s="255">
        <f>+D284+E284+H284+I284</f>
        <v>2455.647998</v>
      </c>
      <c r="I287" s="256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7"/>
      <c r="B288" s="139"/>
      <c r="C288" s="139"/>
      <c r="D288" s="139"/>
      <c r="E288" s="139" t="s">
        <v>49</v>
      </c>
      <c r="F288" s="139"/>
      <c r="G288" s="139"/>
      <c r="H288" s="251">
        <f>+H287/B284</f>
        <v>0.1004919194</v>
      </c>
      <c r="I288" s="258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7"/>
      <c r="B289" s="139"/>
      <c r="C289" s="139" t="s">
        <v>51</v>
      </c>
      <c r="D289" s="139"/>
      <c r="E289" s="139"/>
      <c r="F289" s="139"/>
      <c r="G289" s="139"/>
      <c r="H289" s="140"/>
      <c r="I289" s="258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 t="s">
        <v>52</v>
      </c>
      <c r="E290" s="139"/>
      <c r="F290" s="139"/>
      <c r="G290" s="139"/>
      <c r="H290" s="140">
        <f>+H289*(H287-H284)</f>
        <v>0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59"/>
      <c r="B291" s="260"/>
      <c r="C291" s="260"/>
      <c r="D291" s="260"/>
      <c r="E291" s="260"/>
      <c r="F291" s="260"/>
      <c r="G291" s="260"/>
      <c r="H291" s="261"/>
      <c r="I291" s="262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222.39*69.1</f>
        <v>15367.149</v>
      </c>
      <c r="F8" s="156"/>
      <c r="G8" s="156"/>
      <c r="H8" s="157">
        <v>69.1</v>
      </c>
      <c r="I8" s="158">
        <f t="shared" ref="I8:I13" si="1">+D8*E8</f>
        <v>1237.055495</v>
      </c>
      <c r="J8" s="159">
        <f t="shared" ref="J8:J13" si="2">E8-I8</f>
        <v>14130.09351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66</v>
      </c>
      <c r="C9" s="154">
        <v>25.5</v>
      </c>
      <c r="D9" s="155">
        <v>0.0751</v>
      </c>
      <c r="E9" s="156">
        <f>241.868*16.4</f>
        <v>3966.6352</v>
      </c>
      <c r="F9" s="156"/>
      <c r="G9" s="156"/>
      <c r="H9" s="157">
        <v>16.4</v>
      </c>
      <c r="I9" s="158">
        <f t="shared" si="1"/>
        <v>297.8943035</v>
      </c>
      <c r="J9" s="159">
        <f t="shared" si="2"/>
        <v>3668.740896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67</v>
      </c>
      <c r="C10" s="154">
        <v>50.5</v>
      </c>
      <c r="D10" s="155">
        <v>0.0215</v>
      </c>
      <c r="E10" s="156">
        <f>253.425*1.2</f>
        <v>304.11</v>
      </c>
      <c r="F10" s="156"/>
      <c r="G10" s="156"/>
      <c r="H10" s="157">
        <v>1.2</v>
      </c>
      <c r="I10" s="158">
        <f t="shared" si="1"/>
        <v>6.538365</v>
      </c>
      <c r="J10" s="159">
        <f t="shared" si="2"/>
        <v>297.571635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68</v>
      </c>
      <c r="C11" s="154">
        <v>16.5</v>
      </c>
      <c r="D11" s="161">
        <v>0.1063</v>
      </c>
      <c r="E11" s="162">
        <f>186.601*14.9</f>
        <v>2780.3549</v>
      </c>
      <c r="F11" s="162"/>
      <c r="G11" s="162"/>
      <c r="H11" s="157">
        <v>14.9</v>
      </c>
      <c r="I11" s="158">
        <f t="shared" si="1"/>
        <v>295.5517259</v>
      </c>
      <c r="J11" s="159">
        <f t="shared" si="2"/>
        <v>2484.803174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6.0</v>
      </c>
      <c r="B12" s="160" t="s">
        <v>69</v>
      </c>
      <c r="C12" s="160">
        <v>22.5</v>
      </c>
      <c r="D12" s="161">
        <v>0.083</v>
      </c>
      <c r="E12" s="162">
        <f>221.471*13.3</f>
        <v>2945.5643</v>
      </c>
      <c r="F12" s="162"/>
      <c r="G12" s="162"/>
      <c r="H12" s="157">
        <v>13.3</v>
      </c>
      <c r="I12" s="158">
        <f t="shared" si="1"/>
        <v>244.4818369</v>
      </c>
      <c r="J12" s="159">
        <f t="shared" si="2"/>
        <v>2701.082463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7.0</v>
      </c>
      <c r="B13" s="160" t="s">
        <v>70</v>
      </c>
      <c r="C13" s="160">
        <v>18.5</v>
      </c>
      <c r="D13" s="161">
        <v>0.1172</v>
      </c>
      <c r="E13" s="162">
        <f>179.663*14.1</f>
        <v>2533.2483</v>
      </c>
      <c r="F13" s="162"/>
      <c r="G13" s="162"/>
      <c r="H13" s="157">
        <v>14.1</v>
      </c>
      <c r="I13" s="158">
        <f t="shared" si="1"/>
        <v>296.8967008</v>
      </c>
      <c r="J13" s="159">
        <f t="shared" si="2"/>
        <v>2236.351599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63"/>
      <c r="B14" s="164"/>
      <c r="C14" s="165"/>
      <c r="D14" s="166"/>
      <c r="E14" s="167">
        <f>SUM(E8:E13)</f>
        <v>27897.0617</v>
      </c>
      <c r="F14" s="168"/>
      <c r="G14" s="168"/>
      <c r="H14" s="169"/>
      <c r="I14" s="170">
        <f t="shared" ref="I14:J14" si="3">SUM(I8:I13)</f>
        <v>2378.418427</v>
      </c>
      <c r="J14" s="171">
        <f t="shared" si="3"/>
        <v>25518.64327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40.5" customHeight="1">
      <c r="A20" s="177"/>
      <c r="B20" s="160" t="s">
        <v>12</v>
      </c>
      <c r="C20" s="178" t="s">
        <v>56</v>
      </c>
      <c r="D20" s="52"/>
      <c r="E20" s="53"/>
      <c r="F20" s="179"/>
      <c r="G20" s="179"/>
      <c r="H20" s="180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7" t="s">
        <v>18</v>
      </c>
      <c r="O20" s="139"/>
      <c r="P20" s="139"/>
      <c r="Q20" s="177" t="s">
        <v>57</v>
      </c>
      <c r="R20" s="181"/>
      <c r="S20" s="160" t="s">
        <v>17</v>
      </c>
      <c r="T20" s="160" t="s">
        <v>15</v>
      </c>
      <c r="U20" s="177" t="s">
        <v>18</v>
      </c>
      <c r="V20" s="139"/>
      <c r="W20" s="177" t="s">
        <v>19</v>
      </c>
      <c r="X20" s="177" t="s">
        <v>20</v>
      </c>
      <c r="Y20" s="177" t="s">
        <v>21</v>
      </c>
      <c r="Z20" s="177" t="s">
        <v>71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1.0</v>
      </c>
      <c r="B21" s="182" t="s">
        <v>55</v>
      </c>
      <c r="C21" s="183">
        <v>87.0</v>
      </c>
      <c r="D21" s="183">
        <v>204.0</v>
      </c>
      <c r="E21" s="183">
        <v>189.0</v>
      </c>
      <c r="F21" s="183">
        <f t="shared" ref="F21:F222" si="5">VALUE(IF(RIGHT(B21, 1)="%", RIGHT(B21, 3), 0))</f>
        <v>0</v>
      </c>
      <c r="G21" s="183">
        <f t="shared" ref="G21:G222" si="6">+R21*C21/100*D21/100*E21/100</f>
        <v>75.47337</v>
      </c>
      <c r="H21" s="184">
        <f t="shared" ref="H21:H222" si="7">IF(F21=0, G21, F21*G21)</f>
        <v>75.47337</v>
      </c>
      <c r="I21" s="183">
        <v>1.0</v>
      </c>
      <c r="J21" s="185">
        <f t="shared" ref="J21:J222" si="8">+I21*H21</f>
        <v>75.47337</v>
      </c>
      <c r="K21" s="186"/>
      <c r="L21" s="187">
        <f>D21*25.4/1000</f>
        <v>5.1816</v>
      </c>
      <c r="M21" s="188">
        <f>+I21</f>
        <v>1</v>
      </c>
      <c r="N21" s="188">
        <f>M21*L21</f>
        <v>5.1816</v>
      </c>
      <c r="O21" s="186"/>
      <c r="P21" s="186"/>
      <c r="Q21" s="187">
        <v>88.0</v>
      </c>
      <c r="R21" s="189">
        <v>22.5</v>
      </c>
      <c r="S21" s="177">
        <f t="shared" ref="S21:S223" si="9">E21/100</f>
        <v>1.89</v>
      </c>
      <c r="T21" s="160">
        <f t="shared" ref="T21:T223" si="10">I21</f>
        <v>1</v>
      </c>
      <c r="U21" s="160">
        <f t="shared" ref="U21:U223" si="11">T21*S21</f>
        <v>1.89</v>
      </c>
      <c r="V21" s="190">
        <f t="shared" ref="V21:V80" si="12">R21*C21/100*D21/100*E21/100</f>
        <v>75.47337</v>
      </c>
      <c r="W21" s="177">
        <f t="shared" ref="W21:X21" si="4">C21/100</f>
        <v>0.87</v>
      </c>
      <c r="X21" s="177">
        <f t="shared" si="4"/>
        <v>2.04</v>
      </c>
      <c r="Y21" s="177">
        <f t="shared" ref="Y21:Y223" si="14">U21</f>
        <v>1.89</v>
      </c>
      <c r="Z21" s="191">
        <f t="shared" ref="Z21:Z223" si="15">W21*X21*Y21</f>
        <v>3.354372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2.0</v>
      </c>
      <c r="B22" s="192" t="s">
        <v>55</v>
      </c>
      <c r="C22" s="192">
        <v>72.0</v>
      </c>
      <c r="D22" s="192">
        <v>202.0</v>
      </c>
      <c r="E22" s="192">
        <v>72.0</v>
      </c>
      <c r="F22" s="192">
        <f t="shared" si="5"/>
        <v>0</v>
      </c>
      <c r="G22" s="192">
        <f t="shared" si="6"/>
        <v>23.56128</v>
      </c>
      <c r="H22" s="193">
        <f t="shared" si="7"/>
        <v>23.56128</v>
      </c>
      <c r="I22" s="192">
        <v>1.0</v>
      </c>
      <c r="J22" s="194">
        <f t="shared" si="8"/>
        <v>23.56128</v>
      </c>
      <c r="K22" s="139"/>
      <c r="L22" s="177"/>
      <c r="M22" s="160"/>
      <c r="N22" s="160"/>
      <c r="O22" s="139"/>
      <c r="P22" s="139"/>
      <c r="Q22" s="177">
        <v>28.0</v>
      </c>
      <c r="R22" s="189">
        <v>22.5</v>
      </c>
      <c r="S22" s="177">
        <f t="shared" si="9"/>
        <v>0.72</v>
      </c>
      <c r="T22" s="160">
        <f t="shared" si="10"/>
        <v>1</v>
      </c>
      <c r="U22" s="160">
        <f t="shared" si="11"/>
        <v>0.72</v>
      </c>
      <c r="V22" s="190">
        <f t="shared" si="12"/>
        <v>23.56128</v>
      </c>
      <c r="W22" s="177">
        <f t="shared" ref="W22:X22" si="13">C22/100</f>
        <v>0.72</v>
      </c>
      <c r="X22" s="177">
        <f t="shared" si="13"/>
        <v>2.02</v>
      </c>
      <c r="Y22" s="177">
        <f t="shared" si="14"/>
        <v>0.72</v>
      </c>
      <c r="Z22" s="191">
        <f t="shared" si="15"/>
        <v>1.047168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3.0</v>
      </c>
      <c r="B23" s="192" t="s">
        <v>55</v>
      </c>
      <c r="C23" s="192">
        <v>103.0</v>
      </c>
      <c r="D23" s="192">
        <v>204.0</v>
      </c>
      <c r="E23" s="192">
        <v>131.0</v>
      </c>
      <c r="F23" s="192">
        <f t="shared" si="5"/>
        <v>0</v>
      </c>
      <c r="G23" s="192">
        <f t="shared" si="6"/>
        <v>61.93287</v>
      </c>
      <c r="H23" s="193">
        <f t="shared" si="7"/>
        <v>61.93287</v>
      </c>
      <c r="I23" s="192">
        <v>1.0</v>
      </c>
      <c r="J23" s="194">
        <f t="shared" si="8"/>
        <v>61.93287</v>
      </c>
      <c r="K23" s="139"/>
      <c r="L23" s="177">
        <f t="shared" ref="L23:L45" si="17">D23*25.4/1000</f>
        <v>5.1816</v>
      </c>
      <c r="M23" s="160">
        <f t="shared" ref="M23:M55" si="18">+I23</f>
        <v>1</v>
      </c>
      <c r="N23" s="160">
        <f t="shared" ref="N23:N45" si="19">M23*L23</f>
        <v>5.1816</v>
      </c>
      <c r="O23" s="139"/>
      <c r="P23" s="139"/>
      <c r="Q23" s="177">
        <v>92.0</v>
      </c>
      <c r="R23" s="189">
        <v>22.5</v>
      </c>
      <c r="S23" s="177">
        <f t="shared" si="9"/>
        <v>1.31</v>
      </c>
      <c r="T23" s="160">
        <f t="shared" si="10"/>
        <v>1</v>
      </c>
      <c r="U23" s="160">
        <f t="shared" si="11"/>
        <v>1.31</v>
      </c>
      <c r="V23" s="190">
        <f t="shared" si="12"/>
        <v>61.93287</v>
      </c>
      <c r="W23" s="177">
        <f t="shared" ref="W23:X23" si="16">C23/100</f>
        <v>1.03</v>
      </c>
      <c r="X23" s="177">
        <f t="shared" si="16"/>
        <v>2.04</v>
      </c>
      <c r="Y23" s="177">
        <f t="shared" si="14"/>
        <v>1.31</v>
      </c>
      <c r="Z23" s="191">
        <f t="shared" si="15"/>
        <v>2.752572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4.0</v>
      </c>
      <c r="B24" s="192" t="s">
        <v>55</v>
      </c>
      <c r="C24" s="192">
        <v>87.0</v>
      </c>
      <c r="D24" s="192">
        <v>204.0</v>
      </c>
      <c r="E24" s="192">
        <v>200.0</v>
      </c>
      <c r="F24" s="192">
        <f t="shared" si="5"/>
        <v>0</v>
      </c>
      <c r="G24" s="192">
        <f t="shared" si="6"/>
        <v>79.866</v>
      </c>
      <c r="H24" s="193">
        <f t="shared" si="7"/>
        <v>79.866</v>
      </c>
      <c r="I24" s="192">
        <v>1.0</v>
      </c>
      <c r="J24" s="194">
        <f t="shared" si="8"/>
        <v>79.866</v>
      </c>
      <c r="K24" s="139"/>
      <c r="L24" s="177">
        <f t="shared" si="17"/>
        <v>5.1816</v>
      </c>
      <c r="M24" s="160">
        <f t="shared" si="18"/>
        <v>1</v>
      </c>
      <c r="N24" s="160">
        <f t="shared" si="19"/>
        <v>5.1816</v>
      </c>
      <c r="O24" s="139"/>
      <c r="P24" s="139"/>
      <c r="Q24" s="177">
        <v>88.0</v>
      </c>
      <c r="R24" s="189">
        <v>22.5</v>
      </c>
      <c r="S24" s="177">
        <f t="shared" si="9"/>
        <v>2</v>
      </c>
      <c r="T24" s="160">
        <f t="shared" si="10"/>
        <v>1</v>
      </c>
      <c r="U24" s="160">
        <f t="shared" si="11"/>
        <v>2</v>
      </c>
      <c r="V24" s="190">
        <f t="shared" si="12"/>
        <v>79.866</v>
      </c>
      <c r="W24" s="177">
        <f t="shared" ref="W24:X24" si="20">C24/100</f>
        <v>0.87</v>
      </c>
      <c r="X24" s="177">
        <f t="shared" si="20"/>
        <v>2.04</v>
      </c>
      <c r="Y24" s="177">
        <f t="shared" si="14"/>
        <v>2</v>
      </c>
      <c r="Z24" s="191">
        <f t="shared" si="15"/>
        <v>3.5496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5.0</v>
      </c>
      <c r="B25" s="192" t="s">
        <v>55</v>
      </c>
      <c r="C25" s="192">
        <v>104.0</v>
      </c>
      <c r="D25" s="192">
        <v>204.0</v>
      </c>
      <c r="E25" s="192">
        <v>2879.0</v>
      </c>
      <c r="F25" s="192">
        <f t="shared" si="5"/>
        <v>0</v>
      </c>
      <c r="G25" s="192">
        <f t="shared" si="6"/>
        <v>1374.31944</v>
      </c>
      <c r="H25" s="193">
        <f t="shared" si="7"/>
        <v>1374.31944</v>
      </c>
      <c r="I25" s="192">
        <v>1.0</v>
      </c>
      <c r="J25" s="194">
        <f t="shared" si="8"/>
        <v>1374.31944</v>
      </c>
      <c r="K25" s="139"/>
      <c r="L25" s="177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7">
        <v>1350.0</v>
      </c>
      <c r="R25" s="189">
        <v>22.5</v>
      </c>
      <c r="S25" s="177">
        <f t="shared" si="9"/>
        <v>28.79</v>
      </c>
      <c r="T25" s="160">
        <f t="shared" si="10"/>
        <v>1</v>
      </c>
      <c r="U25" s="160">
        <f t="shared" si="11"/>
        <v>28.79</v>
      </c>
      <c r="V25" s="190">
        <f t="shared" si="12"/>
        <v>1374.31944</v>
      </c>
      <c r="W25" s="177">
        <f t="shared" ref="W25:X25" si="21">C25/100</f>
        <v>1.04</v>
      </c>
      <c r="X25" s="177">
        <f t="shared" si="21"/>
        <v>2.04</v>
      </c>
      <c r="Y25" s="177">
        <f t="shared" si="14"/>
        <v>28.79</v>
      </c>
      <c r="Z25" s="191">
        <f t="shared" si="15"/>
        <v>61.080864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6.0</v>
      </c>
      <c r="B26" s="192" t="s">
        <v>55</v>
      </c>
      <c r="C26" s="192">
        <v>104.0</v>
      </c>
      <c r="D26" s="192">
        <v>204.0</v>
      </c>
      <c r="E26" s="192">
        <v>2875.0</v>
      </c>
      <c r="F26" s="192">
        <f t="shared" si="5"/>
        <v>0</v>
      </c>
      <c r="G26" s="192">
        <f t="shared" si="6"/>
        <v>1372.41</v>
      </c>
      <c r="H26" s="193">
        <f t="shared" si="7"/>
        <v>1372.41</v>
      </c>
      <c r="I26" s="192">
        <v>1.0</v>
      </c>
      <c r="J26" s="194">
        <f t="shared" si="8"/>
        <v>1372.41</v>
      </c>
      <c r="K26" s="139"/>
      <c r="L26" s="177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7">
        <v>1365.0</v>
      </c>
      <c r="R26" s="189">
        <v>22.5</v>
      </c>
      <c r="S26" s="177">
        <f t="shared" si="9"/>
        <v>28.75</v>
      </c>
      <c r="T26" s="160">
        <f t="shared" si="10"/>
        <v>1</v>
      </c>
      <c r="U26" s="160">
        <f t="shared" si="11"/>
        <v>28.75</v>
      </c>
      <c r="V26" s="190">
        <f t="shared" si="12"/>
        <v>1372.41</v>
      </c>
      <c r="W26" s="177">
        <f t="shared" ref="W26:X26" si="22">C26/100</f>
        <v>1.04</v>
      </c>
      <c r="X26" s="177">
        <f t="shared" si="22"/>
        <v>2.04</v>
      </c>
      <c r="Y26" s="177">
        <f t="shared" si="14"/>
        <v>28.75</v>
      </c>
      <c r="Z26" s="191">
        <f t="shared" si="15"/>
        <v>60.996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7.0</v>
      </c>
      <c r="B27" s="192" t="s">
        <v>55</v>
      </c>
      <c r="C27" s="192">
        <v>106.0</v>
      </c>
      <c r="D27" s="192">
        <v>204.0</v>
      </c>
      <c r="E27" s="192">
        <v>2879.0</v>
      </c>
      <c r="F27" s="192">
        <f t="shared" si="5"/>
        <v>0</v>
      </c>
      <c r="G27" s="192">
        <f t="shared" si="6"/>
        <v>1400.74866</v>
      </c>
      <c r="H27" s="193">
        <f t="shared" si="7"/>
        <v>1400.74866</v>
      </c>
      <c r="I27" s="192">
        <v>1.0</v>
      </c>
      <c r="J27" s="194">
        <f t="shared" si="8"/>
        <v>1400.74866</v>
      </c>
      <c r="K27" s="139"/>
      <c r="L27" s="177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7">
        <v>1360.0</v>
      </c>
      <c r="R27" s="189">
        <v>22.5</v>
      </c>
      <c r="S27" s="177">
        <f t="shared" si="9"/>
        <v>28.79</v>
      </c>
      <c r="T27" s="160">
        <f t="shared" si="10"/>
        <v>1</v>
      </c>
      <c r="U27" s="160">
        <f t="shared" si="11"/>
        <v>28.79</v>
      </c>
      <c r="V27" s="190">
        <f t="shared" si="12"/>
        <v>1400.74866</v>
      </c>
      <c r="W27" s="177">
        <f t="shared" ref="W27:X27" si="23">C27/100</f>
        <v>1.06</v>
      </c>
      <c r="X27" s="177">
        <f t="shared" si="23"/>
        <v>2.04</v>
      </c>
      <c r="Y27" s="177">
        <f t="shared" si="14"/>
        <v>28.79</v>
      </c>
      <c r="Z27" s="191">
        <f t="shared" si="15"/>
        <v>62.255496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8.0</v>
      </c>
      <c r="B28" s="192" t="s">
        <v>55</v>
      </c>
      <c r="C28" s="192">
        <v>103.0</v>
      </c>
      <c r="D28" s="192">
        <v>204.0</v>
      </c>
      <c r="E28" s="192">
        <v>2876.0</v>
      </c>
      <c r="F28" s="192">
        <f t="shared" si="5"/>
        <v>0</v>
      </c>
      <c r="G28" s="192">
        <f t="shared" si="6"/>
        <v>1359.68652</v>
      </c>
      <c r="H28" s="193">
        <f t="shared" si="7"/>
        <v>1359.68652</v>
      </c>
      <c r="I28" s="192">
        <v>1.0</v>
      </c>
      <c r="J28" s="194">
        <f t="shared" si="8"/>
        <v>1359.68652</v>
      </c>
      <c r="K28" s="139"/>
      <c r="L28" s="177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7">
        <v>1355.0</v>
      </c>
      <c r="R28" s="189">
        <v>22.5</v>
      </c>
      <c r="S28" s="177">
        <f t="shared" si="9"/>
        <v>28.76</v>
      </c>
      <c r="T28" s="160">
        <f t="shared" si="10"/>
        <v>1</v>
      </c>
      <c r="U28" s="160">
        <f t="shared" si="11"/>
        <v>28.76</v>
      </c>
      <c r="V28" s="190">
        <f t="shared" si="12"/>
        <v>1359.68652</v>
      </c>
      <c r="W28" s="177">
        <f t="shared" ref="W28:X28" si="24">C28/100</f>
        <v>1.03</v>
      </c>
      <c r="X28" s="177">
        <f t="shared" si="24"/>
        <v>2.04</v>
      </c>
      <c r="Y28" s="177">
        <f t="shared" si="14"/>
        <v>28.76</v>
      </c>
      <c r="Z28" s="191">
        <f t="shared" si="15"/>
        <v>60.430512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9.0</v>
      </c>
      <c r="B29" s="192" t="s">
        <v>55</v>
      </c>
      <c r="C29" s="192">
        <v>104.0</v>
      </c>
      <c r="D29" s="192">
        <v>204.0</v>
      </c>
      <c r="E29" s="192">
        <v>2962.0</v>
      </c>
      <c r="F29" s="192">
        <f t="shared" si="5"/>
        <v>0</v>
      </c>
      <c r="G29" s="192">
        <f t="shared" si="6"/>
        <v>1413.94032</v>
      </c>
      <c r="H29" s="193">
        <f t="shared" si="7"/>
        <v>1413.94032</v>
      </c>
      <c r="I29" s="192">
        <v>1.0</v>
      </c>
      <c r="J29" s="194">
        <f t="shared" si="8"/>
        <v>1413.94032</v>
      </c>
      <c r="K29" s="139"/>
      <c r="L29" s="177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7">
        <v>1370.0</v>
      </c>
      <c r="R29" s="189">
        <v>22.5</v>
      </c>
      <c r="S29" s="177">
        <f t="shared" si="9"/>
        <v>29.62</v>
      </c>
      <c r="T29" s="160">
        <f t="shared" si="10"/>
        <v>1</v>
      </c>
      <c r="U29" s="160">
        <f t="shared" si="11"/>
        <v>29.62</v>
      </c>
      <c r="V29" s="190">
        <f t="shared" si="12"/>
        <v>1413.94032</v>
      </c>
      <c r="W29" s="177">
        <f t="shared" ref="W29:X29" si="25">C29/100</f>
        <v>1.04</v>
      </c>
      <c r="X29" s="177">
        <f t="shared" si="25"/>
        <v>2.04</v>
      </c>
      <c r="Y29" s="177">
        <f t="shared" si="14"/>
        <v>29.62</v>
      </c>
      <c r="Z29" s="191">
        <f t="shared" si="15"/>
        <v>62.841792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10.0</v>
      </c>
      <c r="B30" s="192" t="s">
        <v>55</v>
      </c>
      <c r="C30" s="192">
        <v>104.0</v>
      </c>
      <c r="D30" s="192">
        <v>204.0</v>
      </c>
      <c r="E30" s="192">
        <v>2872.0</v>
      </c>
      <c r="F30" s="192">
        <f t="shared" si="5"/>
        <v>0</v>
      </c>
      <c r="G30" s="192">
        <f t="shared" si="6"/>
        <v>1370.97792</v>
      </c>
      <c r="H30" s="193">
        <f t="shared" si="7"/>
        <v>1370.97792</v>
      </c>
      <c r="I30" s="192">
        <v>1.0</v>
      </c>
      <c r="J30" s="194">
        <f t="shared" si="8"/>
        <v>1370.97792</v>
      </c>
      <c r="K30" s="139"/>
      <c r="L30" s="177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7">
        <v>1355.0</v>
      </c>
      <c r="R30" s="189">
        <v>22.5</v>
      </c>
      <c r="S30" s="177">
        <f t="shared" si="9"/>
        <v>28.72</v>
      </c>
      <c r="T30" s="160">
        <f t="shared" si="10"/>
        <v>1</v>
      </c>
      <c r="U30" s="160">
        <f t="shared" si="11"/>
        <v>28.72</v>
      </c>
      <c r="V30" s="190">
        <f t="shared" si="12"/>
        <v>1370.97792</v>
      </c>
      <c r="W30" s="177">
        <f t="shared" ref="W30:X30" si="26">C30/100</f>
        <v>1.04</v>
      </c>
      <c r="X30" s="177">
        <f t="shared" si="26"/>
        <v>2.04</v>
      </c>
      <c r="Y30" s="177">
        <f t="shared" si="14"/>
        <v>28.72</v>
      </c>
      <c r="Z30" s="191">
        <f t="shared" si="15"/>
        <v>60.932352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11.0</v>
      </c>
      <c r="B31" s="192" t="s">
        <v>55</v>
      </c>
      <c r="C31" s="192">
        <v>100.0</v>
      </c>
      <c r="D31" s="192">
        <v>204.0</v>
      </c>
      <c r="E31" s="192">
        <v>2867.0</v>
      </c>
      <c r="F31" s="192">
        <f t="shared" si="5"/>
        <v>0</v>
      </c>
      <c r="G31" s="192">
        <f t="shared" si="6"/>
        <v>1315.953</v>
      </c>
      <c r="H31" s="193">
        <f t="shared" si="7"/>
        <v>1315.953</v>
      </c>
      <c r="I31" s="192">
        <v>1.0</v>
      </c>
      <c r="J31" s="194">
        <f t="shared" si="8"/>
        <v>1315.953</v>
      </c>
      <c r="K31" s="139"/>
      <c r="L31" s="177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7">
        <v>1315.0</v>
      </c>
      <c r="R31" s="189">
        <v>22.5</v>
      </c>
      <c r="S31" s="177">
        <f t="shared" si="9"/>
        <v>28.67</v>
      </c>
      <c r="T31" s="160">
        <f t="shared" si="10"/>
        <v>1</v>
      </c>
      <c r="U31" s="160">
        <f t="shared" si="11"/>
        <v>28.67</v>
      </c>
      <c r="V31" s="190">
        <f t="shared" si="12"/>
        <v>1315.953</v>
      </c>
      <c r="W31" s="177">
        <f t="shared" ref="W31:X31" si="27">C31/100</f>
        <v>1</v>
      </c>
      <c r="X31" s="177">
        <f t="shared" si="27"/>
        <v>2.04</v>
      </c>
      <c r="Y31" s="177">
        <f t="shared" si="14"/>
        <v>28.67</v>
      </c>
      <c r="Z31" s="191">
        <f t="shared" si="15"/>
        <v>58.4868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12.0</v>
      </c>
      <c r="B32" s="192" t="s">
        <v>55</v>
      </c>
      <c r="C32" s="192">
        <v>102.0</v>
      </c>
      <c r="D32" s="192">
        <v>204.0</v>
      </c>
      <c r="E32" s="192">
        <v>2740.0</v>
      </c>
      <c r="F32" s="192">
        <f t="shared" si="5"/>
        <v>0</v>
      </c>
      <c r="G32" s="192">
        <f t="shared" si="6"/>
        <v>1282.8132</v>
      </c>
      <c r="H32" s="193">
        <f t="shared" si="7"/>
        <v>1282.8132</v>
      </c>
      <c r="I32" s="192">
        <v>1.0</v>
      </c>
      <c r="J32" s="194">
        <f t="shared" si="8"/>
        <v>1282.8132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1250.0</v>
      </c>
      <c r="R32" s="189">
        <v>22.5</v>
      </c>
      <c r="S32" s="177">
        <f t="shared" si="9"/>
        <v>27.4</v>
      </c>
      <c r="T32" s="160">
        <f t="shared" si="10"/>
        <v>1</v>
      </c>
      <c r="U32" s="160">
        <f t="shared" si="11"/>
        <v>27.4</v>
      </c>
      <c r="V32" s="190">
        <f t="shared" si="12"/>
        <v>1282.8132</v>
      </c>
      <c r="W32" s="177">
        <f t="shared" ref="W32:X32" si="28">C32/100</f>
        <v>1.02</v>
      </c>
      <c r="X32" s="177">
        <f t="shared" si="28"/>
        <v>2.04</v>
      </c>
      <c r="Y32" s="177">
        <f t="shared" si="14"/>
        <v>27.4</v>
      </c>
      <c r="Z32" s="191">
        <f t="shared" si="15"/>
        <v>57.01392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13.0</v>
      </c>
      <c r="B33" s="192" t="s">
        <v>55</v>
      </c>
      <c r="C33" s="192">
        <v>100.0</v>
      </c>
      <c r="D33" s="192">
        <v>204.0</v>
      </c>
      <c r="E33" s="192">
        <v>2871.0</v>
      </c>
      <c r="F33" s="192">
        <f t="shared" si="5"/>
        <v>0</v>
      </c>
      <c r="G33" s="192">
        <f t="shared" si="6"/>
        <v>1317.789</v>
      </c>
      <c r="H33" s="193">
        <f t="shared" si="7"/>
        <v>1317.789</v>
      </c>
      <c r="I33" s="192">
        <v>1.0</v>
      </c>
      <c r="J33" s="194">
        <f t="shared" si="8"/>
        <v>1317.789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1310.0</v>
      </c>
      <c r="R33" s="189">
        <v>22.5</v>
      </c>
      <c r="S33" s="177">
        <f t="shared" si="9"/>
        <v>28.71</v>
      </c>
      <c r="T33" s="160">
        <f t="shared" si="10"/>
        <v>1</v>
      </c>
      <c r="U33" s="160">
        <f t="shared" si="11"/>
        <v>28.71</v>
      </c>
      <c r="V33" s="190">
        <f t="shared" si="12"/>
        <v>1317.789</v>
      </c>
      <c r="W33" s="177">
        <f t="shared" ref="W33:X33" si="29">C33/100</f>
        <v>1</v>
      </c>
      <c r="X33" s="177">
        <f t="shared" si="29"/>
        <v>2.04</v>
      </c>
      <c r="Y33" s="177">
        <f t="shared" si="14"/>
        <v>28.71</v>
      </c>
      <c r="Z33" s="191">
        <f t="shared" si="15"/>
        <v>58.5684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14.0</v>
      </c>
      <c r="B34" s="192" t="s">
        <v>55</v>
      </c>
      <c r="C34" s="192">
        <v>102.0</v>
      </c>
      <c r="D34" s="192">
        <v>204.0</v>
      </c>
      <c r="E34" s="192">
        <v>2872.0</v>
      </c>
      <c r="F34" s="192">
        <f t="shared" si="5"/>
        <v>0</v>
      </c>
      <c r="G34" s="192">
        <f t="shared" si="6"/>
        <v>1344.61296</v>
      </c>
      <c r="H34" s="193">
        <f t="shared" si="7"/>
        <v>1344.61296</v>
      </c>
      <c r="I34" s="192">
        <v>1.0</v>
      </c>
      <c r="J34" s="194">
        <f t="shared" si="8"/>
        <v>1344.61296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1345.0</v>
      </c>
      <c r="R34" s="189">
        <v>22.5</v>
      </c>
      <c r="S34" s="177">
        <f t="shared" si="9"/>
        <v>28.72</v>
      </c>
      <c r="T34" s="160">
        <f t="shared" si="10"/>
        <v>1</v>
      </c>
      <c r="U34" s="160">
        <f t="shared" si="11"/>
        <v>28.72</v>
      </c>
      <c r="V34" s="190">
        <f t="shared" si="12"/>
        <v>1344.61296</v>
      </c>
      <c r="W34" s="177">
        <f t="shared" ref="W34:X34" si="30">C34/100</f>
        <v>1.02</v>
      </c>
      <c r="X34" s="177">
        <f t="shared" si="30"/>
        <v>2.04</v>
      </c>
      <c r="Y34" s="177">
        <f t="shared" si="14"/>
        <v>28.72</v>
      </c>
      <c r="Z34" s="191">
        <f t="shared" si="15"/>
        <v>59.760576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15.0</v>
      </c>
      <c r="B35" s="182" t="s">
        <v>66</v>
      </c>
      <c r="C35" s="183">
        <v>106.0</v>
      </c>
      <c r="D35" s="183">
        <v>205.0</v>
      </c>
      <c r="E35" s="183">
        <v>116.0</v>
      </c>
      <c r="F35" s="183">
        <f t="shared" si="5"/>
        <v>0</v>
      </c>
      <c r="G35" s="183">
        <f t="shared" si="6"/>
        <v>66.293884</v>
      </c>
      <c r="H35" s="184">
        <f t="shared" si="7"/>
        <v>66.293884</v>
      </c>
      <c r="I35" s="183">
        <v>1.0</v>
      </c>
      <c r="J35" s="185">
        <f t="shared" si="8"/>
        <v>66.293884</v>
      </c>
      <c r="K35" s="186"/>
      <c r="L35" s="187">
        <f t="shared" si="17"/>
        <v>5.207</v>
      </c>
      <c r="M35" s="188">
        <f t="shared" si="18"/>
        <v>1</v>
      </c>
      <c r="N35" s="188">
        <f t="shared" si="19"/>
        <v>5.207</v>
      </c>
      <c r="O35" s="186"/>
      <c r="P35" s="186"/>
      <c r="Q35" s="187">
        <v>98.5</v>
      </c>
      <c r="R35" s="189">
        <v>26.3</v>
      </c>
      <c r="S35" s="177">
        <f t="shared" si="9"/>
        <v>1.16</v>
      </c>
      <c r="T35" s="160">
        <f t="shared" si="10"/>
        <v>1</v>
      </c>
      <c r="U35" s="160">
        <f t="shared" si="11"/>
        <v>1.16</v>
      </c>
      <c r="V35" s="190">
        <f t="shared" si="12"/>
        <v>66.293884</v>
      </c>
      <c r="W35" s="177">
        <f t="shared" ref="W35:X35" si="31">C35/100</f>
        <v>1.06</v>
      </c>
      <c r="X35" s="177">
        <f t="shared" si="31"/>
        <v>2.05</v>
      </c>
      <c r="Y35" s="177">
        <f t="shared" si="14"/>
        <v>1.16</v>
      </c>
      <c r="Z35" s="191">
        <f t="shared" si="15"/>
        <v>2.52068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16.0</v>
      </c>
      <c r="B36" s="192" t="s">
        <v>66</v>
      </c>
      <c r="C36" s="192">
        <v>90.0</v>
      </c>
      <c r="D36" s="192">
        <v>205.0</v>
      </c>
      <c r="E36" s="192">
        <v>200.0</v>
      </c>
      <c r="F36" s="192">
        <f t="shared" si="5"/>
        <v>0</v>
      </c>
      <c r="G36" s="192">
        <f t="shared" si="6"/>
        <v>97.047</v>
      </c>
      <c r="H36" s="193">
        <f t="shared" si="7"/>
        <v>97.047</v>
      </c>
      <c r="I36" s="192">
        <v>1.0</v>
      </c>
      <c r="J36" s="194">
        <f t="shared" si="8"/>
        <v>97.047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112.0</v>
      </c>
      <c r="R36" s="189">
        <v>26.3</v>
      </c>
      <c r="S36" s="177">
        <f t="shared" si="9"/>
        <v>2</v>
      </c>
      <c r="T36" s="160">
        <f t="shared" si="10"/>
        <v>1</v>
      </c>
      <c r="U36" s="160">
        <f t="shared" si="11"/>
        <v>2</v>
      </c>
      <c r="V36" s="190">
        <f t="shared" si="12"/>
        <v>97.047</v>
      </c>
      <c r="W36" s="177">
        <f t="shared" ref="W36:X36" si="32">C36/100</f>
        <v>0.9</v>
      </c>
      <c r="X36" s="177">
        <f t="shared" si="32"/>
        <v>2.05</v>
      </c>
      <c r="Y36" s="177">
        <f t="shared" si="14"/>
        <v>2</v>
      </c>
      <c r="Z36" s="191">
        <f t="shared" si="15"/>
        <v>3.69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17.0</v>
      </c>
      <c r="B37" s="192" t="s">
        <v>66</v>
      </c>
      <c r="C37" s="192">
        <v>81.0</v>
      </c>
      <c r="D37" s="192">
        <v>204.0</v>
      </c>
      <c r="E37" s="192">
        <v>188.0</v>
      </c>
      <c r="F37" s="192">
        <f t="shared" si="5"/>
        <v>0</v>
      </c>
      <c r="G37" s="192">
        <f t="shared" si="6"/>
        <v>81.7012656</v>
      </c>
      <c r="H37" s="193">
        <f t="shared" si="7"/>
        <v>81.7012656</v>
      </c>
      <c r="I37" s="192">
        <v>1.0</v>
      </c>
      <c r="J37" s="194">
        <f t="shared" si="8"/>
        <v>81.7012656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103.0</v>
      </c>
      <c r="R37" s="189">
        <v>26.3</v>
      </c>
      <c r="S37" s="177">
        <f t="shared" si="9"/>
        <v>1.88</v>
      </c>
      <c r="T37" s="160">
        <f t="shared" si="10"/>
        <v>1</v>
      </c>
      <c r="U37" s="160">
        <f t="shared" si="11"/>
        <v>1.88</v>
      </c>
      <c r="V37" s="190">
        <f t="shared" si="12"/>
        <v>81.7012656</v>
      </c>
      <c r="W37" s="177">
        <f t="shared" ref="W37:X37" si="33">C37/100</f>
        <v>0.81</v>
      </c>
      <c r="X37" s="177">
        <f t="shared" si="33"/>
        <v>2.04</v>
      </c>
      <c r="Y37" s="177">
        <f t="shared" si="14"/>
        <v>1.88</v>
      </c>
      <c r="Z37" s="191">
        <f t="shared" si="15"/>
        <v>3.106512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18.0</v>
      </c>
      <c r="B38" s="192" t="s">
        <v>66</v>
      </c>
      <c r="C38" s="192">
        <v>104.0</v>
      </c>
      <c r="D38" s="192">
        <v>204.0</v>
      </c>
      <c r="E38" s="192">
        <v>2874.0</v>
      </c>
      <c r="F38" s="192">
        <f t="shared" si="5"/>
        <v>0</v>
      </c>
      <c r="G38" s="192">
        <f t="shared" si="6"/>
        <v>1603.636819</v>
      </c>
      <c r="H38" s="193">
        <f t="shared" si="7"/>
        <v>1603.636819</v>
      </c>
      <c r="I38" s="192">
        <v>1.0</v>
      </c>
      <c r="J38" s="194">
        <f t="shared" si="8"/>
        <v>1603.636819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1615.0</v>
      </c>
      <c r="R38" s="189">
        <v>26.3</v>
      </c>
      <c r="S38" s="177">
        <f t="shared" si="9"/>
        <v>28.74</v>
      </c>
      <c r="T38" s="160">
        <f t="shared" si="10"/>
        <v>1</v>
      </c>
      <c r="U38" s="160">
        <f t="shared" si="11"/>
        <v>28.74</v>
      </c>
      <c r="V38" s="190">
        <f t="shared" si="12"/>
        <v>1603.636819</v>
      </c>
      <c r="W38" s="177">
        <f t="shared" ref="W38:X38" si="34">C38/100</f>
        <v>1.04</v>
      </c>
      <c r="X38" s="177">
        <f t="shared" si="34"/>
        <v>2.04</v>
      </c>
      <c r="Y38" s="177">
        <f t="shared" si="14"/>
        <v>28.74</v>
      </c>
      <c r="Z38" s="191">
        <f t="shared" si="15"/>
        <v>60.974784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19.0</v>
      </c>
      <c r="B39" s="192" t="s">
        <v>66</v>
      </c>
      <c r="C39" s="192">
        <v>105.0</v>
      </c>
      <c r="D39" s="192">
        <v>204.0</v>
      </c>
      <c r="E39" s="192">
        <v>2867.0</v>
      </c>
      <c r="F39" s="192">
        <f t="shared" si="5"/>
        <v>0</v>
      </c>
      <c r="G39" s="192">
        <f t="shared" si="6"/>
        <v>1615.112982</v>
      </c>
      <c r="H39" s="193">
        <f t="shared" si="7"/>
        <v>1615.112982</v>
      </c>
      <c r="I39" s="192">
        <v>1.0</v>
      </c>
      <c r="J39" s="194">
        <f t="shared" si="8"/>
        <v>1615.112982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1605.0</v>
      </c>
      <c r="R39" s="189">
        <v>26.3</v>
      </c>
      <c r="S39" s="177">
        <f t="shared" si="9"/>
        <v>28.67</v>
      </c>
      <c r="T39" s="160">
        <f t="shared" si="10"/>
        <v>1</v>
      </c>
      <c r="U39" s="160">
        <f t="shared" si="11"/>
        <v>28.67</v>
      </c>
      <c r="V39" s="190">
        <f t="shared" si="12"/>
        <v>1615.112982</v>
      </c>
      <c r="W39" s="177">
        <f t="shared" ref="W39:X39" si="35">C39/100</f>
        <v>1.05</v>
      </c>
      <c r="X39" s="177">
        <f t="shared" si="35"/>
        <v>2.04</v>
      </c>
      <c r="Y39" s="177">
        <f t="shared" si="14"/>
        <v>28.67</v>
      </c>
      <c r="Z39" s="191">
        <f t="shared" si="15"/>
        <v>61.41114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20.0</v>
      </c>
      <c r="B40" s="182" t="s">
        <v>67</v>
      </c>
      <c r="C40" s="192">
        <v>38.0</v>
      </c>
      <c r="D40" s="192">
        <v>201.0</v>
      </c>
      <c r="E40" s="192">
        <v>199.0</v>
      </c>
      <c r="F40" s="192">
        <f t="shared" si="5"/>
        <v>0</v>
      </c>
      <c r="G40" s="192">
        <f t="shared" si="6"/>
        <v>76.758081</v>
      </c>
      <c r="H40" s="193">
        <f t="shared" si="7"/>
        <v>76.758081</v>
      </c>
      <c r="I40" s="192">
        <v>1.0</v>
      </c>
      <c r="J40" s="194">
        <f t="shared" si="8"/>
        <v>76.758081</v>
      </c>
      <c r="K40" s="139"/>
      <c r="L40" s="177">
        <f t="shared" si="17"/>
        <v>5.1054</v>
      </c>
      <c r="M40" s="160">
        <f t="shared" si="18"/>
        <v>1</v>
      </c>
      <c r="N40" s="160">
        <f t="shared" si="19"/>
        <v>5.1054</v>
      </c>
      <c r="O40" s="139"/>
      <c r="P40" s="139"/>
      <c r="Q40" s="177">
        <v>103.0</v>
      </c>
      <c r="R40" s="189">
        <v>50.5</v>
      </c>
      <c r="S40" s="177">
        <f t="shared" si="9"/>
        <v>1.99</v>
      </c>
      <c r="T40" s="160">
        <f t="shared" si="10"/>
        <v>1</v>
      </c>
      <c r="U40" s="160">
        <f t="shared" si="11"/>
        <v>1.99</v>
      </c>
      <c r="V40" s="190">
        <f t="shared" si="12"/>
        <v>76.758081</v>
      </c>
      <c r="W40" s="177">
        <f t="shared" ref="W40:X40" si="36">C40/100</f>
        <v>0.38</v>
      </c>
      <c r="X40" s="177">
        <f t="shared" si="36"/>
        <v>2.01</v>
      </c>
      <c r="Y40" s="177">
        <f t="shared" si="14"/>
        <v>1.99</v>
      </c>
      <c r="Z40" s="191">
        <f t="shared" si="15"/>
        <v>1.519962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21.0</v>
      </c>
      <c r="B41" s="182" t="s">
        <v>68</v>
      </c>
      <c r="C41" s="183">
        <v>109.0</v>
      </c>
      <c r="D41" s="183">
        <v>200.0</v>
      </c>
      <c r="E41" s="183">
        <v>140.0</v>
      </c>
      <c r="F41" s="183">
        <f t="shared" si="5"/>
        <v>0</v>
      </c>
      <c r="G41" s="183">
        <f t="shared" si="6"/>
        <v>50.358</v>
      </c>
      <c r="H41" s="184">
        <f t="shared" si="7"/>
        <v>50.358</v>
      </c>
      <c r="I41" s="183">
        <v>1.0</v>
      </c>
      <c r="J41" s="185">
        <f t="shared" si="8"/>
        <v>50.358</v>
      </c>
      <c r="K41" s="186"/>
      <c r="L41" s="187">
        <f t="shared" si="17"/>
        <v>5.08</v>
      </c>
      <c r="M41" s="188">
        <f t="shared" si="18"/>
        <v>1</v>
      </c>
      <c r="N41" s="188">
        <f t="shared" si="19"/>
        <v>5.08</v>
      </c>
      <c r="O41" s="186"/>
      <c r="P41" s="186"/>
      <c r="Q41" s="187">
        <v>70.0</v>
      </c>
      <c r="R41" s="189">
        <v>16.5</v>
      </c>
      <c r="S41" s="177">
        <f t="shared" si="9"/>
        <v>1.4</v>
      </c>
      <c r="T41" s="160">
        <f t="shared" si="10"/>
        <v>1</v>
      </c>
      <c r="U41" s="160">
        <f t="shared" si="11"/>
        <v>1.4</v>
      </c>
      <c r="V41" s="190">
        <f t="shared" si="12"/>
        <v>50.358</v>
      </c>
      <c r="W41" s="177">
        <f t="shared" ref="W41:X41" si="37">C41/100</f>
        <v>1.09</v>
      </c>
      <c r="X41" s="177">
        <f t="shared" si="37"/>
        <v>2</v>
      </c>
      <c r="Y41" s="177">
        <f t="shared" si="14"/>
        <v>1.4</v>
      </c>
      <c r="Z41" s="191">
        <f t="shared" si="15"/>
        <v>3.052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22.0</v>
      </c>
      <c r="B42" s="192" t="s">
        <v>68</v>
      </c>
      <c r="C42" s="192">
        <v>103.0</v>
      </c>
      <c r="D42" s="192">
        <v>200.0</v>
      </c>
      <c r="E42" s="192">
        <v>198.0</v>
      </c>
      <c r="F42" s="192">
        <f t="shared" si="5"/>
        <v>0</v>
      </c>
      <c r="G42" s="192">
        <f t="shared" si="6"/>
        <v>67.3002</v>
      </c>
      <c r="H42" s="193">
        <f t="shared" si="7"/>
        <v>67.3002</v>
      </c>
      <c r="I42" s="192">
        <v>1.0</v>
      </c>
      <c r="J42" s="194">
        <f t="shared" si="8"/>
        <v>67.3002</v>
      </c>
      <c r="K42" s="139"/>
      <c r="L42" s="177">
        <f t="shared" si="17"/>
        <v>5.08</v>
      </c>
      <c r="M42" s="160">
        <f t="shared" si="18"/>
        <v>1</v>
      </c>
      <c r="N42" s="160">
        <f t="shared" si="19"/>
        <v>5.08</v>
      </c>
      <c r="O42" s="139"/>
      <c r="P42" s="139"/>
      <c r="Q42" s="177">
        <v>70.0</v>
      </c>
      <c r="R42" s="189">
        <v>16.5</v>
      </c>
      <c r="S42" s="177">
        <f t="shared" si="9"/>
        <v>1.98</v>
      </c>
      <c r="T42" s="160">
        <f t="shared" si="10"/>
        <v>1</v>
      </c>
      <c r="U42" s="160">
        <f t="shared" si="11"/>
        <v>1.98</v>
      </c>
      <c r="V42" s="190">
        <f t="shared" si="12"/>
        <v>67.3002</v>
      </c>
      <c r="W42" s="177">
        <f t="shared" ref="W42:X42" si="38">C42/100</f>
        <v>1.03</v>
      </c>
      <c r="X42" s="177">
        <f t="shared" si="38"/>
        <v>2</v>
      </c>
      <c r="Y42" s="177">
        <f t="shared" si="14"/>
        <v>1.98</v>
      </c>
      <c r="Z42" s="191">
        <f t="shared" si="15"/>
        <v>4.0788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23.0</v>
      </c>
      <c r="B43" s="192" t="s">
        <v>68</v>
      </c>
      <c r="C43" s="192">
        <v>85.0</v>
      </c>
      <c r="D43" s="192">
        <v>200.0</v>
      </c>
      <c r="E43" s="192">
        <v>188.0</v>
      </c>
      <c r="F43" s="192">
        <f t="shared" si="5"/>
        <v>0</v>
      </c>
      <c r="G43" s="192">
        <f t="shared" si="6"/>
        <v>52.734</v>
      </c>
      <c r="H43" s="193">
        <f t="shared" si="7"/>
        <v>52.734</v>
      </c>
      <c r="I43" s="192">
        <v>1.0</v>
      </c>
      <c r="J43" s="194">
        <f t="shared" si="8"/>
        <v>52.734</v>
      </c>
      <c r="K43" s="139"/>
      <c r="L43" s="177">
        <f t="shared" si="17"/>
        <v>5.08</v>
      </c>
      <c r="M43" s="160">
        <f t="shared" si="18"/>
        <v>1</v>
      </c>
      <c r="N43" s="160">
        <f t="shared" si="19"/>
        <v>5.08</v>
      </c>
      <c r="O43" s="139"/>
      <c r="P43" s="139"/>
      <c r="Q43" s="177">
        <v>61.0</v>
      </c>
      <c r="R43" s="189">
        <v>16.5</v>
      </c>
      <c r="S43" s="177">
        <f t="shared" si="9"/>
        <v>1.88</v>
      </c>
      <c r="T43" s="160">
        <f t="shared" si="10"/>
        <v>1</v>
      </c>
      <c r="U43" s="160">
        <f t="shared" si="11"/>
        <v>1.88</v>
      </c>
      <c r="V43" s="190">
        <f t="shared" si="12"/>
        <v>52.734</v>
      </c>
      <c r="W43" s="177">
        <f t="shared" ref="W43:X43" si="39">C43/100</f>
        <v>0.85</v>
      </c>
      <c r="X43" s="177">
        <f t="shared" si="39"/>
        <v>2</v>
      </c>
      <c r="Y43" s="177">
        <f t="shared" si="14"/>
        <v>1.88</v>
      </c>
      <c r="Z43" s="191">
        <f t="shared" si="15"/>
        <v>3.196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24.0</v>
      </c>
      <c r="B44" s="192" t="s">
        <v>68</v>
      </c>
      <c r="C44" s="192">
        <v>104.0</v>
      </c>
      <c r="D44" s="192">
        <v>200.0</v>
      </c>
      <c r="E44" s="192">
        <v>188.0</v>
      </c>
      <c r="F44" s="192">
        <f t="shared" si="5"/>
        <v>0</v>
      </c>
      <c r="G44" s="192">
        <f t="shared" si="6"/>
        <v>64.5216</v>
      </c>
      <c r="H44" s="193">
        <f t="shared" si="7"/>
        <v>64.5216</v>
      </c>
      <c r="I44" s="192">
        <v>1.0</v>
      </c>
      <c r="J44" s="194">
        <f t="shared" si="8"/>
        <v>64.5216</v>
      </c>
      <c r="K44" s="139"/>
      <c r="L44" s="177">
        <f t="shared" si="17"/>
        <v>5.08</v>
      </c>
      <c r="M44" s="160">
        <f t="shared" si="18"/>
        <v>1</v>
      </c>
      <c r="N44" s="160">
        <f t="shared" si="19"/>
        <v>5.08</v>
      </c>
      <c r="O44" s="139"/>
      <c r="P44" s="139"/>
      <c r="Q44" s="177">
        <v>69.5</v>
      </c>
      <c r="R44" s="189">
        <v>16.5</v>
      </c>
      <c r="S44" s="177">
        <f t="shared" si="9"/>
        <v>1.88</v>
      </c>
      <c r="T44" s="160">
        <f t="shared" si="10"/>
        <v>1</v>
      </c>
      <c r="U44" s="160">
        <f t="shared" si="11"/>
        <v>1.88</v>
      </c>
      <c r="V44" s="190">
        <f t="shared" si="12"/>
        <v>64.5216</v>
      </c>
      <c r="W44" s="177">
        <f t="shared" ref="W44:X44" si="40">C44/100</f>
        <v>1.04</v>
      </c>
      <c r="X44" s="177">
        <f t="shared" si="40"/>
        <v>2</v>
      </c>
      <c r="Y44" s="177">
        <f t="shared" si="14"/>
        <v>1.88</v>
      </c>
      <c r="Z44" s="191">
        <f t="shared" si="15"/>
        <v>3.9104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25.0</v>
      </c>
      <c r="B45" s="192" t="s">
        <v>68</v>
      </c>
      <c r="C45" s="192">
        <v>90.0</v>
      </c>
      <c r="D45" s="192">
        <v>200.0</v>
      </c>
      <c r="E45" s="192">
        <v>222.0</v>
      </c>
      <c r="F45" s="192">
        <f t="shared" si="5"/>
        <v>0</v>
      </c>
      <c r="G45" s="192">
        <f t="shared" si="6"/>
        <v>65.934</v>
      </c>
      <c r="H45" s="193">
        <f t="shared" si="7"/>
        <v>65.934</v>
      </c>
      <c r="I45" s="192">
        <v>1.0</v>
      </c>
      <c r="J45" s="194">
        <f t="shared" si="8"/>
        <v>65.934</v>
      </c>
      <c r="K45" s="139"/>
      <c r="L45" s="177">
        <f t="shared" si="17"/>
        <v>5.08</v>
      </c>
      <c r="M45" s="160">
        <f t="shared" si="18"/>
        <v>1</v>
      </c>
      <c r="N45" s="160">
        <f t="shared" si="19"/>
        <v>5.08</v>
      </c>
      <c r="O45" s="139"/>
      <c r="P45" s="139"/>
      <c r="Q45" s="177">
        <v>73.0</v>
      </c>
      <c r="R45" s="189">
        <v>16.5</v>
      </c>
      <c r="S45" s="177">
        <f t="shared" si="9"/>
        <v>2.22</v>
      </c>
      <c r="T45" s="160">
        <f t="shared" si="10"/>
        <v>1</v>
      </c>
      <c r="U45" s="160">
        <f t="shared" si="11"/>
        <v>2.22</v>
      </c>
      <c r="V45" s="190">
        <f t="shared" si="12"/>
        <v>65.934</v>
      </c>
      <c r="W45" s="177">
        <f t="shared" ref="W45:X45" si="41">C45/100</f>
        <v>0.9</v>
      </c>
      <c r="X45" s="177">
        <f t="shared" si="41"/>
        <v>2</v>
      </c>
      <c r="Y45" s="177">
        <f t="shared" si="14"/>
        <v>2.22</v>
      </c>
      <c r="Z45" s="191">
        <f t="shared" si="15"/>
        <v>3.996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26.0</v>
      </c>
      <c r="B46" s="192" t="s">
        <v>68</v>
      </c>
      <c r="C46" s="192">
        <v>106.0</v>
      </c>
      <c r="D46" s="192">
        <v>200.0</v>
      </c>
      <c r="E46" s="192">
        <v>2678.0</v>
      </c>
      <c r="F46" s="192">
        <f t="shared" si="5"/>
        <v>0</v>
      </c>
      <c r="G46" s="192">
        <f t="shared" si="6"/>
        <v>936.7644</v>
      </c>
      <c r="H46" s="193">
        <f t="shared" si="7"/>
        <v>936.7644</v>
      </c>
      <c r="I46" s="192">
        <v>1.0</v>
      </c>
      <c r="J46" s="194">
        <f t="shared" si="8"/>
        <v>936.7644</v>
      </c>
      <c r="K46" s="139"/>
      <c r="L46" s="195"/>
      <c r="M46" s="196">
        <f t="shared" si="18"/>
        <v>1</v>
      </c>
      <c r="N46" s="196"/>
      <c r="O46" s="139"/>
      <c r="P46" s="139"/>
      <c r="Q46" s="177">
        <v>945.0</v>
      </c>
      <c r="R46" s="189">
        <v>16.5</v>
      </c>
      <c r="S46" s="177">
        <f t="shared" si="9"/>
        <v>26.78</v>
      </c>
      <c r="T46" s="160">
        <f t="shared" si="10"/>
        <v>1</v>
      </c>
      <c r="U46" s="160">
        <f t="shared" si="11"/>
        <v>26.78</v>
      </c>
      <c r="V46" s="190">
        <f t="shared" si="12"/>
        <v>936.7644</v>
      </c>
      <c r="W46" s="177">
        <f t="shared" ref="W46:X46" si="42">C46/100</f>
        <v>1.06</v>
      </c>
      <c r="X46" s="177">
        <f t="shared" si="42"/>
        <v>2</v>
      </c>
      <c r="Y46" s="177">
        <f t="shared" si="14"/>
        <v>26.78</v>
      </c>
      <c r="Z46" s="191">
        <f t="shared" si="15"/>
        <v>56.7736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27.0</v>
      </c>
      <c r="B47" s="192" t="s">
        <v>68</v>
      </c>
      <c r="C47" s="192">
        <v>109.0</v>
      </c>
      <c r="D47" s="192">
        <v>200.0</v>
      </c>
      <c r="E47" s="192">
        <v>2842.0</v>
      </c>
      <c r="F47" s="192">
        <f t="shared" si="5"/>
        <v>0</v>
      </c>
      <c r="G47" s="192">
        <f t="shared" si="6"/>
        <v>1022.2674</v>
      </c>
      <c r="H47" s="193">
        <f t="shared" si="7"/>
        <v>1022.2674</v>
      </c>
      <c r="I47" s="192">
        <v>1.0</v>
      </c>
      <c r="J47" s="194">
        <f t="shared" si="8"/>
        <v>1022.2674</v>
      </c>
      <c r="K47" s="139"/>
      <c r="L47" s="195"/>
      <c r="M47" s="196">
        <f t="shared" si="18"/>
        <v>1</v>
      </c>
      <c r="N47" s="196"/>
      <c r="O47" s="139"/>
      <c r="P47" s="139"/>
      <c r="Q47" s="177">
        <v>1015.0</v>
      </c>
      <c r="R47" s="189">
        <v>16.5</v>
      </c>
      <c r="S47" s="177">
        <f t="shared" si="9"/>
        <v>28.42</v>
      </c>
      <c r="T47" s="160">
        <f t="shared" si="10"/>
        <v>1</v>
      </c>
      <c r="U47" s="160">
        <f t="shared" si="11"/>
        <v>28.42</v>
      </c>
      <c r="V47" s="190">
        <f t="shared" si="12"/>
        <v>1022.2674</v>
      </c>
      <c r="W47" s="177">
        <f t="shared" ref="W47:X47" si="43">C47/100</f>
        <v>1.09</v>
      </c>
      <c r="X47" s="177">
        <f t="shared" si="43"/>
        <v>2</v>
      </c>
      <c r="Y47" s="177">
        <f t="shared" si="14"/>
        <v>28.42</v>
      </c>
      <c r="Z47" s="191">
        <f t="shared" si="15"/>
        <v>61.9556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28.0</v>
      </c>
      <c r="B48" s="182" t="s">
        <v>69</v>
      </c>
      <c r="C48" s="183">
        <v>103.0</v>
      </c>
      <c r="D48" s="183">
        <v>204.0</v>
      </c>
      <c r="E48" s="183">
        <v>111.0</v>
      </c>
      <c r="F48" s="183">
        <f t="shared" si="5"/>
        <v>0</v>
      </c>
      <c r="G48" s="183">
        <f t="shared" si="6"/>
        <v>48.978972</v>
      </c>
      <c r="H48" s="184">
        <f t="shared" si="7"/>
        <v>48.978972</v>
      </c>
      <c r="I48" s="183">
        <v>1.0</v>
      </c>
      <c r="J48" s="185">
        <f t="shared" si="8"/>
        <v>48.978972</v>
      </c>
      <c r="K48" s="186"/>
      <c r="L48" s="265"/>
      <c r="M48" s="266">
        <f t="shared" si="18"/>
        <v>1</v>
      </c>
      <c r="N48" s="266"/>
      <c r="O48" s="186"/>
      <c r="P48" s="186"/>
      <c r="Q48" s="187">
        <v>80.0</v>
      </c>
      <c r="R48" s="189">
        <v>21.0</v>
      </c>
      <c r="S48" s="177">
        <f t="shared" si="9"/>
        <v>1.11</v>
      </c>
      <c r="T48" s="160">
        <f t="shared" si="10"/>
        <v>1</v>
      </c>
      <c r="U48" s="160">
        <f t="shared" si="11"/>
        <v>1.11</v>
      </c>
      <c r="V48" s="190">
        <f t="shared" si="12"/>
        <v>48.978972</v>
      </c>
      <c r="W48" s="177">
        <f t="shared" ref="W48:X48" si="44">C48/100</f>
        <v>1.03</v>
      </c>
      <c r="X48" s="177">
        <f t="shared" si="44"/>
        <v>2.04</v>
      </c>
      <c r="Y48" s="177">
        <f t="shared" si="14"/>
        <v>1.11</v>
      </c>
      <c r="Z48" s="191">
        <f t="shared" si="15"/>
        <v>2.332332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29.0</v>
      </c>
      <c r="B49" s="192" t="s">
        <v>69</v>
      </c>
      <c r="C49" s="192">
        <v>79.0</v>
      </c>
      <c r="D49" s="192">
        <v>203.0</v>
      </c>
      <c r="E49" s="192">
        <v>196.0</v>
      </c>
      <c r="F49" s="192">
        <f t="shared" si="5"/>
        <v>0</v>
      </c>
      <c r="G49" s="192">
        <f t="shared" si="6"/>
        <v>66.008292</v>
      </c>
      <c r="H49" s="193">
        <f t="shared" si="7"/>
        <v>66.008292</v>
      </c>
      <c r="I49" s="192">
        <v>1.0</v>
      </c>
      <c r="J49" s="194">
        <f t="shared" si="8"/>
        <v>66.008292</v>
      </c>
      <c r="K49" s="139"/>
      <c r="L49" s="195"/>
      <c r="M49" s="196">
        <f t="shared" si="18"/>
        <v>1</v>
      </c>
      <c r="N49" s="196"/>
      <c r="O49" s="139"/>
      <c r="P49" s="139"/>
      <c r="Q49" s="177">
        <v>85.0</v>
      </c>
      <c r="R49" s="189">
        <v>21.0</v>
      </c>
      <c r="S49" s="177">
        <f t="shared" si="9"/>
        <v>1.96</v>
      </c>
      <c r="T49" s="160">
        <f t="shared" si="10"/>
        <v>1</v>
      </c>
      <c r="U49" s="160">
        <f t="shared" si="11"/>
        <v>1.96</v>
      </c>
      <c r="V49" s="190">
        <f t="shared" si="12"/>
        <v>66.008292</v>
      </c>
      <c r="W49" s="177">
        <f t="shared" ref="W49:X49" si="45">C49/100</f>
        <v>0.79</v>
      </c>
      <c r="X49" s="177">
        <f t="shared" si="45"/>
        <v>2.03</v>
      </c>
      <c r="Y49" s="177">
        <f t="shared" si="14"/>
        <v>1.96</v>
      </c>
      <c r="Z49" s="191">
        <f t="shared" si="15"/>
        <v>3.143252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30.0</v>
      </c>
      <c r="B50" s="192" t="s">
        <v>69</v>
      </c>
      <c r="C50" s="192">
        <v>106.0</v>
      </c>
      <c r="D50" s="192">
        <v>203.0</v>
      </c>
      <c r="E50" s="192">
        <v>2350.0</v>
      </c>
      <c r="F50" s="192">
        <f t="shared" si="5"/>
        <v>0</v>
      </c>
      <c r="G50" s="192">
        <f t="shared" si="6"/>
        <v>1061.9133</v>
      </c>
      <c r="H50" s="193">
        <f t="shared" si="7"/>
        <v>1061.9133</v>
      </c>
      <c r="I50" s="192">
        <v>1.0</v>
      </c>
      <c r="J50" s="194">
        <f t="shared" si="8"/>
        <v>1061.9133</v>
      </c>
      <c r="K50" s="139"/>
      <c r="L50" s="195"/>
      <c r="M50" s="196">
        <f t="shared" si="18"/>
        <v>1</v>
      </c>
      <c r="N50" s="196"/>
      <c r="O50" s="139"/>
      <c r="P50" s="139"/>
      <c r="Q50" s="177">
        <v>1075.0</v>
      </c>
      <c r="R50" s="189">
        <v>21.0</v>
      </c>
      <c r="S50" s="177">
        <f t="shared" si="9"/>
        <v>23.5</v>
      </c>
      <c r="T50" s="160">
        <f t="shared" si="10"/>
        <v>1</v>
      </c>
      <c r="U50" s="160">
        <f t="shared" si="11"/>
        <v>23.5</v>
      </c>
      <c r="V50" s="190">
        <f t="shared" si="12"/>
        <v>1061.9133</v>
      </c>
      <c r="W50" s="177">
        <f t="shared" ref="W50:X50" si="46">C50/100</f>
        <v>1.06</v>
      </c>
      <c r="X50" s="177">
        <f t="shared" si="46"/>
        <v>2.03</v>
      </c>
      <c r="Y50" s="177">
        <f t="shared" si="14"/>
        <v>23.5</v>
      </c>
      <c r="Z50" s="191">
        <f t="shared" si="15"/>
        <v>50.5673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31.0</v>
      </c>
      <c r="B51" s="192" t="s">
        <v>69</v>
      </c>
      <c r="C51" s="192">
        <v>107.0</v>
      </c>
      <c r="D51" s="192">
        <v>203.0</v>
      </c>
      <c r="E51" s="192">
        <v>2856.0</v>
      </c>
      <c r="F51" s="192">
        <f t="shared" si="5"/>
        <v>0</v>
      </c>
      <c r="G51" s="192">
        <f t="shared" si="6"/>
        <v>1302.738696</v>
      </c>
      <c r="H51" s="193">
        <f t="shared" si="7"/>
        <v>1302.738696</v>
      </c>
      <c r="I51" s="192">
        <v>1.0</v>
      </c>
      <c r="J51" s="194">
        <f t="shared" si="8"/>
        <v>1302.738696</v>
      </c>
      <c r="K51" s="139"/>
      <c r="L51" s="195"/>
      <c r="M51" s="196">
        <f t="shared" si="18"/>
        <v>1</v>
      </c>
      <c r="N51" s="196"/>
      <c r="O51" s="139"/>
      <c r="P51" s="139"/>
      <c r="Q51" s="177">
        <v>1240.0</v>
      </c>
      <c r="R51" s="189">
        <v>21.0</v>
      </c>
      <c r="S51" s="177">
        <f t="shared" si="9"/>
        <v>28.56</v>
      </c>
      <c r="T51" s="160">
        <f t="shared" si="10"/>
        <v>1</v>
      </c>
      <c r="U51" s="160">
        <f t="shared" si="11"/>
        <v>28.56</v>
      </c>
      <c r="V51" s="190">
        <f t="shared" si="12"/>
        <v>1302.738696</v>
      </c>
      <c r="W51" s="177">
        <f t="shared" ref="W51:X51" si="47">C51/100</f>
        <v>1.07</v>
      </c>
      <c r="X51" s="177">
        <f t="shared" si="47"/>
        <v>2.03</v>
      </c>
      <c r="Y51" s="177">
        <f t="shared" si="14"/>
        <v>28.56</v>
      </c>
      <c r="Z51" s="191">
        <f t="shared" si="15"/>
        <v>62.035176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32.0</v>
      </c>
      <c r="B52" s="182" t="s">
        <v>70</v>
      </c>
      <c r="C52" s="183">
        <v>99.0</v>
      </c>
      <c r="D52" s="183">
        <v>212.0</v>
      </c>
      <c r="E52" s="183">
        <v>115.0</v>
      </c>
      <c r="F52" s="183">
        <f t="shared" si="5"/>
        <v>0</v>
      </c>
      <c r="G52" s="183">
        <f t="shared" si="6"/>
        <v>39.82473</v>
      </c>
      <c r="H52" s="184">
        <f t="shared" si="7"/>
        <v>39.82473</v>
      </c>
      <c r="I52" s="183">
        <v>1.0</v>
      </c>
      <c r="J52" s="185">
        <f t="shared" si="8"/>
        <v>39.82473</v>
      </c>
      <c r="K52" s="186"/>
      <c r="L52" s="265"/>
      <c r="M52" s="266">
        <f t="shared" si="18"/>
        <v>1</v>
      </c>
      <c r="N52" s="266"/>
      <c r="O52" s="186"/>
      <c r="P52" s="186"/>
      <c r="Q52" s="187">
        <v>62.0</v>
      </c>
      <c r="R52" s="189">
        <v>16.5</v>
      </c>
      <c r="S52" s="177">
        <f t="shared" si="9"/>
        <v>1.15</v>
      </c>
      <c r="T52" s="160">
        <f t="shared" si="10"/>
        <v>1</v>
      </c>
      <c r="U52" s="160">
        <f t="shared" si="11"/>
        <v>1.15</v>
      </c>
      <c r="V52" s="190">
        <f t="shared" si="12"/>
        <v>39.82473</v>
      </c>
      <c r="W52" s="177">
        <f t="shared" ref="W52:X52" si="48">C52/100</f>
        <v>0.99</v>
      </c>
      <c r="X52" s="177">
        <f t="shared" si="48"/>
        <v>2.12</v>
      </c>
      <c r="Y52" s="177">
        <f t="shared" si="14"/>
        <v>1.15</v>
      </c>
      <c r="Z52" s="191">
        <f t="shared" si="15"/>
        <v>2.41362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33.0</v>
      </c>
      <c r="B53" s="192" t="s">
        <v>70</v>
      </c>
      <c r="C53" s="192">
        <v>86.0</v>
      </c>
      <c r="D53" s="192">
        <v>212.0</v>
      </c>
      <c r="E53" s="192">
        <v>182.0</v>
      </c>
      <c r="F53" s="192">
        <f t="shared" si="5"/>
        <v>0</v>
      </c>
      <c r="G53" s="192">
        <f t="shared" si="6"/>
        <v>54.750696</v>
      </c>
      <c r="H53" s="193">
        <f t="shared" si="7"/>
        <v>54.750696</v>
      </c>
      <c r="I53" s="192">
        <v>1.0</v>
      </c>
      <c r="J53" s="194">
        <f t="shared" si="8"/>
        <v>54.750696</v>
      </c>
      <c r="K53" s="139"/>
      <c r="L53" s="195"/>
      <c r="M53" s="196">
        <f t="shared" si="18"/>
        <v>1</v>
      </c>
      <c r="N53" s="196"/>
      <c r="O53" s="139"/>
      <c r="P53" s="139"/>
      <c r="Q53" s="177">
        <v>60.0</v>
      </c>
      <c r="R53" s="189">
        <v>16.5</v>
      </c>
      <c r="S53" s="177">
        <f t="shared" si="9"/>
        <v>1.82</v>
      </c>
      <c r="T53" s="160">
        <f t="shared" si="10"/>
        <v>1</v>
      </c>
      <c r="U53" s="160">
        <f t="shared" si="11"/>
        <v>1.82</v>
      </c>
      <c r="V53" s="190">
        <f t="shared" si="12"/>
        <v>54.750696</v>
      </c>
      <c r="W53" s="177">
        <f t="shared" ref="W53:X53" si="49">C53/100</f>
        <v>0.86</v>
      </c>
      <c r="X53" s="177">
        <f t="shared" si="49"/>
        <v>2.12</v>
      </c>
      <c r="Y53" s="177">
        <f t="shared" si="14"/>
        <v>1.82</v>
      </c>
      <c r="Z53" s="191">
        <f t="shared" si="15"/>
        <v>3.318224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34.0</v>
      </c>
      <c r="B54" s="192" t="s">
        <v>70</v>
      </c>
      <c r="C54" s="192">
        <v>105.0</v>
      </c>
      <c r="D54" s="192">
        <v>212.0</v>
      </c>
      <c r="E54" s="192">
        <v>2830.0</v>
      </c>
      <c r="F54" s="192">
        <f t="shared" si="5"/>
        <v>0</v>
      </c>
      <c r="G54" s="192">
        <f t="shared" si="6"/>
        <v>1039.4307</v>
      </c>
      <c r="H54" s="193">
        <f t="shared" si="7"/>
        <v>1039.4307</v>
      </c>
      <c r="I54" s="192">
        <v>1.0</v>
      </c>
      <c r="J54" s="194">
        <f t="shared" si="8"/>
        <v>1039.4307</v>
      </c>
      <c r="K54" s="139"/>
      <c r="L54" s="195"/>
      <c r="M54" s="196">
        <f t="shared" si="18"/>
        <v>1</v>
      </c>
      <c r="N54" s="196"/>
      <c r="O54" s="139"/>
      <c r="P54" s="139"/>
      <c r="Q54" s="177">
        <v>1025.0</v>
      </c>
      <c r="R54" s="189">
        <v>16.5</v>
      </c>
      <c r="S54" s="177">
        <f t="shared" si="9"/>
        <v>28.3</v>
      </c>
      <c r="T54" s="160">
        <f t="shared" si="10"/>
        <v>1</v>
      </c>
      <c r="U54" s="160">
        <f t="shared" si="11"/>
        <v>28.3</v>
      </c>
      <c r="V54" s="190">
        <f t="shared" si="12"/>
        <v>1039.4307</v>
      </c>
      <c r="W54" s="177">
        <f t="shared" ref="W54:X54" si="50">C54/100</f>
        <v>1.05</v>
      </c>
      <c r="X54" s="177">
        <f t="shared" si="50"/>
        <v>2.12</v>
      </c>
      <c r="Y54" s="177">
        <f t="shared" si="14"/>
        <v>28.3</v>
      </c>
      <c r="Z54" s="191">
        <f t="shared" si="15"/>
        <v>62.9958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35.0</v>
      </c>
      <c r="B55" s="192" t="s">
        <v>70</v>
      </c>
      <c r="C55" s="192">
        <v>102.0</v>
      </c>
      <c r="D55" s="192">
        <v>212.0</v>
      </c>
      <c r="E55" s="192">
        <v>2856.0</v>
      </c>
      <c r="F55" s="192">
        <f t="shared" si="5"/>
        <v>0</v>
      </c>
      <c r="G55" s="192">
        <f t="shared" si="6"/>
        <v>1019.009376</v>
      </c>
      <c r="H55" s="193">
        <f t="shared" si="7"/>
        <v>1019.009376</v>
      </c>
      <c r="I55" s="192">
        <v>1.0</v>
      </c>
      <c r="J55" s="194">
        <f t="shared" si="8"/>
        <v>1019.009376</v>
      </c>
      <c r="K55" s="139"/>
      <c r="L55" s="195"/>
      <c r="M55" s="196">
        <f t="shared" si="18"/>
        <v>1</v>
      </c>
      <c r="N55" s="196"/>
      <c r="O55" s="139"/>
      <c r="P55" s="139"/>
      <c r="Q55" s="177">
        <v>1010.0</v>
      </c>
      <c r="R55" s="189">
        <v>16.5</v>
      </c>
      <c r="S55" s="177">
        <f t="shared" si="9"/>
        <v>28.56</v>
      </c>
      <c r="T55" s="160">
        <f t="shared" si="10"/>
        <v>1</v>
      </c>
      <c r="U55" s="160">
        <f t="shared" si="11"/>
        <v>28.56</v>
      </c>
      <c r="V55" s="190">
        <f t="shared" si="12"/>
        <v>1019.009376</v>
      </c>
      <c r="W55" s="177">
        <f t="shared" ref="W55:X55" si="51">C55/100</f>
        <v>1.02</v>
      </c>
      <c r="X55" s="177">
        <f t="shared" si="51"/>
        <v>2.12</v>
      </c>
      <c r="Y55" s="177">
        <f t="shared" si="14"/>
        <v>28.56</v>
      </c>
      <c r="Z55" s="191">
        <f t="shared" si="15"/>
        <v>61.758144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hidden="1" customHeight="1">
      <c r="A56" s="160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52">C56/100</f>
        <v>0</v>
      </c>
      <c r="X56" s="177">
        <f t="shared" si="5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hidden="1" customHeight="1">
      <c r="A57" s="160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53">C57/100</f>
        <v>0</v>
      </c>
      <c r="X57" s="177">
        <f t="shared" si="5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0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54">C58/100</f>
        <v>0</v>
      </c>
      <c r="X58" s="177">
        <f t="shared" si="5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0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5">C59/100</f>
        <v>0</v>
      </c>
      <c r="X59" s="177">
        <f t="shared" si="5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6">C60/100</f>
        <v>0</v>
      </c>
      <c r="X60" s="177">
        <f t="shared" si="5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7">C61/100</f>
        <v>0</v>
      </c>
      <c r="X61" s="177">
        <f t="shared" si="5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8">C62/100</f>
        <v>0</v>
      </c>
      <c r="X62" s="177">
        <f t="shared" si="58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9">C63/100</f>
        <v>0</v>
      </c>
      <c r="X63" s="177">
        <f t="shared" si="59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60">C64/100</f>
        <v>0</v>
      </c>
      <c r="X64" s="177">
        <f t="shared" si="60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62">D65*25.4/1000</f>
        <v>0</v>
      </c>
      <c r="M65" s="160" t="str">
        <f t="shared" ref="M65:M80" si="63">+I65</f>
        <v/>
      </c>
      <c r="N65" s="160">
        <f t="shared" ref="N65:N66" si="64">M65*L65</f>
        <v>0</v>
      </c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61">C65/100</f>
        <v>0</v>
      </c>
      <c r="X65" s="177">
        <f t="shared" si="61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62"/>
        <v>0</v>
      </c>
      <c r="M66" s="196" t="str">
        <f t="shared" si="63"/>
        <v/>
      </c>
      <c r="N66" s="196">
        <f t="shared" si="64"/>
        <v>0</v>
      </c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65">C66/100</f>
        <v>0</v>
      </c>
      <c r="X66" s="177">
        <f t="shared" si="6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63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66">C67/100</f>
        <v>0</v>
      </c>
      <c r="X67" s="177">
        <f t="shared" si="6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63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67">C68/100</f>
        <v>0</v>
      </c>
      <c r="X68" s="177">
        <f t="shared" si="6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63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8">C69/100</f>
        <v>0</v>
      </c>
      <c r="X69" s="177">
        <f t="shared" si="6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63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9">C70/100</f>
        <v>0</v>
      </c>
      <c r="X70" s="177">
        <f t="shared" si="6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63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70">C71/100</f>
        <v>0</v>
      </c>
      <c r="X71" s="177">
        <f t="shared" si="7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63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71">C72/100</f>
        <v>0</v>
      </c>
      <c r="X72" s="177">
        <f t="shared" si="7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63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72">C73/100</f>
        <v>0</v>
      </c>
      <c r="X73" s="177">
        <f t="shared" si="7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63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73">C74/100</f>
        <v>0</v>
      </c>
      <c r="X74" s="177">
        <f t="shared" si="73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63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74">C75/100</f>
        <v>0</v>
      </c>
      <c r="X75" s="177">
        <f t="shared" si="74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63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75">C76/100</f>
        <v>0</v>
      </c>
      <c r="X76" s="177">
        <f t="shared" si="75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63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76">C77/100</f>
        <v>0</v>
      </c>
      <c r="X77" s="197">
        <f t="shared" si="7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3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77">C78/100</f>
        <v>0</v>
      </c>
      <c r="X78" s="197">
        <f t="shared" si="7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3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78">C79/100</f>
        <v>0</v>
      </c>
      <c r="X79" s="197">
        <f t="shared" si="7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3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9">C80/100</f>
        <v>0</v>
      </c>
      <c r="X80" s="197">
        <f t="shared" si="7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80">C81/100</f>
        <v>0</v>
      </c>
      <c r="X81" s="197">
        <f t="shared" si="8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81">C82/100</f>
        <v>0</v>
      </c>
      <c r="X82" s="197">
        <f t="shared" si="8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82">C83/100</f>
        <v>0</v>
      </c>
      <c r="X83" s="197">
        <f t="shared" si="8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83">C84/100</f>
        <v>0</v>
      </c>
      <c r="X84" s="197">
        <f t="shared" si="8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84">C85/100</f>
        <v>0</v>
      </c>
      <c r="X85" s="197">
        <f t="shared" si="8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85">C86/100</f>
        <v>0</v>
      </c>
      <c r="X86" s="197">
        <f t="shared" si="8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86">C87/100</f>
        <v>0</v>
      </c>
      <c r="X87" s="197">
        <f t="shared" si="8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7">C88/100</f>
        <v>0</v>
      </c>
      <c r="X88" s="197">
        <f t="shared" si="8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8">C89/100</f>
        <v>0</v>
      </c>
      <c r="X89" s="197">
        <f t="shared" si="8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9">C90/100</f>
        <v>0</v>
      </c>
      <c r="X90" s="197">
        <f t="shared" si="8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90">C91/100</f>
        <v>0</v>
      </c>
      <c r="X91" s="197">
        <f t="shared" si="9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91">C92/100</f>
        <v>0</v>
      </c>
      <c r="X92" s="197">
        <f t="shared" si="9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92">C93/100</f>
        <v>0</v>
      </c>
      <c r="X93" s="197">
        <f t="shared" si="9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93">C94/100</f>
        <v>0</v>
      </c>
      <c r="X94" s="197">
        <f t="shared" si="9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94">C95/100</f>
        <v>0</v>
      </c>
      <c r="X95" s="197">
        <f t="shared" si="9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95">C96/100</f>
        <v>0</v>
      </c>
      <c r="X96" s="197">
        <f t="shared" si="9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96">C97/100</f>
        <v>0</v>
      </c>
      <c r="X97" s="197">
        <f t="shared" si="9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7">C98/100</f>
        <v>0</v>
      </c>
      <c r="X98" s="197">
        <f t="shared" si="9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8">C99/100</f>
        <v>0</v>
      </c>
      <c r="X99" s="197">
        <f t="shared" si="9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9">C100/100</f>
        <v>0</v>
      </c>
      <c r="X100" s="197">
        <f t="shared" si="9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100">C101/100</f>
        <v>0</v>
      </c>
      <c r="X101" s="197">
        <f t="shared" si="10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101">C102/100</f>
        <v>0</v>
      </c>
      <c r="X102" s="197">
        <f t="shared" si="10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102">C103/100</f>
        <v>0</v>
      </c>
      <c r="X103" s="197">
        <f t="shared" si="10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103">C104/100</f>
        <v>0</v>
      </c>
      <c r="X104" s="197">
        <f t="shared" si="10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104">C105/100</f>
        <v>0</v>
      </c>
      <c r="X105" s="197">
        <f t="shared" si="10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105">C106/100</f>
        <v>0</v>
      </c>
      <c r="X106" s="197">
        <f t="shared" si="10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106">C107/100</f>
        <v>0</v>
      </c>
      <c r="X107" s="197">
        <f t="shared" si="10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7">C108/100</f>
        <v>0</v>
      </c>
      <c r="X108" s="197">
        <f t="shared" si="10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8">C109/100</f>
        <v>0</v>
      </c>
      <c r="X109" s="197">
        <f t="shared" si="10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9">C110/100</f>
        <v>0</v>
      </c>
      <c r="X110" s="197">
        <f t="shared" si="10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10">C111/100</f>
        <v>0</v>
      </c>
      <c r="X111" s="197">
        <f t="shared" si="11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11">C112/100</f>
        <v>0</v>
      </c>
      <c r="X112" s="197">
        <f t="shared" si="11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12">C113/100</f>
        <v>0</v>
      </c>
      <c r="X113" s="197">
        <f t="shared" si="11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13">C114/100</f>
        <v>0</v>
      </c>
      <c r="X114" s="197">
        <f t="shared" si="11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14">C115/100</f>
        <v>0</v>
      </c>
      <c r="X115" s="197">
        <f t="shared" si="11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15">C116/100</f>
        <v>0</v>
      </c>
      <c r="X116" s="197">
        <f t="shared" si="11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16">C117/100</f>
        <v>0</v>
      </c>
      <c r="X117" s="197">
        <f t="shared" si="11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7">C118/100</f>
        <v>0</v>
      </c>
      <c r="X118" s="197">
        <f t="shared" si="11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8">C119/100</f>
        <v>0</v>
      </c>
      <c r="X119" s="197">
        <f t="shared" si="11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9">C120/100</f>
        <v>0</v>
      </c>
      <c r="X120" s="197">
        <f t="shared" si="11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20">C121/100</f>
        <v>0</v>
      </c>
      <c r="X121" s="197">
        <f t="shared" si="12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21">C122/100</f>
        <v>0</v>
      </c>
      <c r="X122" s="197">
        <f t="shared" si="12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22">C123/100</f>
        <v>0</v>
      </c>
      <c r="X123" s="197">
        <f t="shared" si="12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23">C124/100</f>
        <v>0</v>
      </c>
      <c r="X124" s="197">
        <f t="shared" si="12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24">C125/100</f>
        <v>0</v>
      </c>
      <c r="X125" s="197">
        <f t="shared" si="12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25">C126/100</f>
        <v>0</v>
      </c>
      <c r="X126" s="197">
        <f t="shared" si="12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26">C127/100</f>
        <v>0</v>
      </c>
      <c r="X127" s="197">
        <f t="shared" si="12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7">C128/100</f>
        <v>0</v>
      </c>
      <c r="X128" s="197">
        <f t="shared" si="12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8">C129/100</f>
        <v>0</v>
      </c>
      <c r="X129" s="197">
        <f t="shared" si="12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9">C130/100</f>
        <v>0</v>
      </c>
      <c r="X130" s="197">
        <f t="shared" si="12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30">C131/100</f>
        <v>0</v>
      </c>
      <c r="X131" s="197">
        <f t="shared" si="13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31">C132/100</f>
        <v>0</v>
      </c>
      <c r="X132" s="197">
        <f t="shared" si="13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32">C133/100</f>
        <v>0</v>
      </c>
      <c r="X133" s="197">
        <f t="shared" si="13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33">C134/100</f>
        <v>0</v>
      </c>
      <c r="X134" s="197">
        <f t="shared" si="13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34">C135/100</f>
        <v>0</v>
      </c>
      <c r="X135" s="197">
        <f t="shared" si="13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35">C136/100</f>
        <v>0</v>
      </c>
      <c r="X136" s="197">
        <f t="shared" si="13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36">C137/100</f>
        <v>0</v>
      </c>
      <c r="X137" s="197">
        <f t="shared" si="13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7">C138/100</f>
        <v>0</v>
      </c>
      <c r="X138" s="197">
        <f t="shared" si="13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8">C139/100</f>
        <v>0</v>
      </c>
      <c r="X139" s="197">
        <f t="shared" si="13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9">C140/100</f>
        <v>0</v>
      </c>
      <c r="X140" s="197">
        <f t="shared" si="13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40">C141/100</f>
        <v>0</v>
      </c>
      <c r="X141" s="197">
        <f t="shared" si="14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41">C142/100</f>
        <v>0</v>
      </c>
      <c r="X142" s="197">
        <f t="shared" si="14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42">C143/100</f>
        <v>0</v>
      </c>
      <c r="X143" s="197">
        <f t="shared" si="14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43">C144/100</f>
        <v>0</v>
      </c>
      <c r="X144" s="197">
        <f t="shared" si="14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44">C145/100</f>
        <v>0</v>
      </c>
      <c r="X145" s="197">
        <f t="shared" si="14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45">C146/100</f>
        <v>0</v>
      </c>
      <c r="X146" s="197">
        <f t="shared" si="14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46">C147/100</f>
        <v>0</v>
      </c>
      <c r="X147" s="197">
        <f t="shared" si="14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7">C148/100</f>
        <v>0</v>
      </c>
      <c r="X148" s="197">
        <f t="shared" si="14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8">C149/100</f>
        <v>0</v>
      </c>
      <c r="X149" s="197">
        <f t="shared" si="14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9">C150/100</f>
        <v>0</v>
      </c>
      <c r="X150" s="197">
        <f t="shared" si="14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50">C151/100</f>
        <v>0</v>
      </c>
      <c r="X151" s="197">
        <f t="shared" si="15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51">C152/100</f>
        <v>0</v>
      </c>
      <c r="X152" s="197">
        <f t="shared" si="15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52">C153/100</f>
        <v>0</v>
      </c>
      <c r="X153" s="197">
        <f t="shared" si="15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53">C154/100</f>
        <v>0</v>
      </c>
      <c r="X154" s="197">
        <f t="shared" si="15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54">C155/100</f>
        <v>0</v>
      </c>
      <c r="X155" s="197">
        <f t="shared" si="15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55">C156/100</f>
        <v>0</v>
      </c>
      <c r="X156" s="197">
        <f t="shared" si="15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56">C157/100</f>
        <v>0</v>
      </c>
      <c r="X157" s="197">
        <f t="shared" si="15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7">C158/100</f>
        <v>0</v>
      </c>
      <c r="X158" s="197">
        <f t="shared" si="15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8">C159/100</f>
        <v>0</v>
      </c>
      <c r="X159" s="197">
        <f t="shared" si="15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9">C160/100</f>
        <v>0</v>
      </c>
      <c r="X160" s="197">
        <f t="shared" si="15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60">C161/100</f>
        <v>0</v>
      </c>
      <c r="X161" s="197">
        <f t="shared" si="16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61">C162/100</f>
        <v>0</v>
      </c>
      <c r="X162" s="197">
        <f t="shared" si="16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62">C163/100</f>
        <v>0</v>
      </c>
      <c r="X163" s="197">
        <f t="shared" si="16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63">C164/100</f>
        <v>0</v>
      </c>
      <c r="X164" s="197">
        <f t="shared" si="16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64">C165/100</f>
        <v>0</v>
      </c>
      <c r="X165" s="197">
        <f t="shared" si="16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65">C166/100</f>
        <v>0</v>
      </c>
      <c r="X166" s="197">
        <f t="shared" si="16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66">C167/100</f>
        <v>0</v>
      </c>
      <c r="X167" s="197">
        <f t="shared" si="16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7">C168/100</f>
        <v>0</v>
      </c>
      <c r="X168" s="197">
        <f t="shared" si="16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8">C169/100</f>
        <v>0</v>
      </c>
      <c r="X169" s="197">
        <f t="shared" si="16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9">C170/100</f>
        <v>0</v>
      </c>
      <c r="X170" s="197">
        <f t="shared" si="16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70">C171/100</f>
        <v>0</v>
      </c>
      <c r="X171" s="197">
        <f t="shared" si="17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71">C172/100</f>
        <v>0</v>
      </c>
      <c r="X172" s="197">
        <f t="shared" si="17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72">C173/100</f>
        <v>0</v>
      </c>
      <c r="X173" s="197">
        <f t="shared" si="17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73">C174/100</f>
        <v>0</v>
      </c>
      <c r="X174" s="197">
        <f t="shared" si="17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74">C175/100</f>
        <v>0</v>
      </c>
      <c r="X175" s="197">
        <f t="shared" si="17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75">C176/100</f>
        <v>0</v>
      </c>
      <c r="X176" s="197">
        <f t="shared" si="17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76">C177/100</f>
        <v>0</v>
      </c>
      <c r="X177" s="197">
        <f t="shared" si="17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7">C178/100</f>
        <v>0</v>
      </c>
      <c r="X178" s="197">
        <f t="shared" si="17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8">C179/100</f>
        <v>0</v>
      </c>
      <c r="X179" s="197">
        <f t="shared" si="17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9">C180/100</f>
        <v>0</v>
      </c>
      <c r="X180" s="197">
        <f t="shared" si="17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80">C181/100</f>
        <v>0</v>
      </c>
      <c r="X181" s="197">
        <f t="shared" si="18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81">C182/100</f>
        <v>0</v>
      </c>
      <c r="X182" s="197">
        <f t="shared" si="18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82">C183/100</f>
        <v>0</v>
      </c>
      <c r="X183" s="197">
        <f t="shared" si="18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83">C184/100</f>
        <v>0</v>
      </c>
      <c r="X184" s="197">
        <f t="shared" si="18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84">C185/100</f>
        <v>0</v>
      </c>
      <c r="X185" s="197">
        <f t="shared" si="18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85">C186/100</f>
        <v>0</v>
      </c>
      <c r="X186" s="197">
        <f t="shared" si="18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86">C187/100</f>
        <v>0</v>
      </c>
      <c r="X187" s="197">
        <f t="shared" si="18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7">C188/100</f>
        <v>0</v>
      </c>
      <c r="X188" s="197">
        <f t="shared" si="18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8">C189/100</f>
        <v>0</v>
      </c>
      <c r="X189" s="197">
        <f t="shared" si="18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9">C190/100</f>
        <v>0</v>
      </c>
      <c r="X190" s="197">
        <f t="shared" si="18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90">C191/100</f>
        <v>0</v>
      </c>
      <c r="X191" s="197">
        <f t="shared" si="19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91">C192/100</f>
        <v>0</v>
      </c>
      <c r="X192" s="197">
        <f t="shared" si="19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92">C193/100</f>
        <v>0</v>
      </c>
      <c r="X193" s="197">
        <f t="shared" si="19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93">C194/100</f>
        <v>0</v>
      </c>
      <c r="X194" s="197">
        <f t="shared" si="19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94">C195/100</f>
        <v>0</v>
      </c>
      <c r="X195" s="197">
        <f t="shared" si="19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95">C196/100</f>
        <v>0</v>
      </c>
      <c r="X196" s="197">
        <f t="shared" si="19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96">C197/100</f>
        <v>0</v>
      </c>
      <c r="X197" s="197">
        <f t="shared" si="19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7">C198/100</f>
        <v>0</v>
      </c>
      <c r="X198" s="197">
        <f t="shared" si="19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8">C199/100</f>
        <v>0</v>
      </c>
      <c r="X199" s="197">
        <f t="shared" si="19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9">C200/100</f>
        <v>0</v>
      </c>
      <c r="X200" s="197">
        <f t="shared" si="19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200">C201/100</f>
        <v>0</v>
      </c>
      <c r="X201" s="197">
        <f t="shared" si="20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201">C202/100</f>
        <v>0</v>
      </c>
      <c r="X202" s="197">
        <f t="shared" si="20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202">C203/100</f>
        <v>0</v>
      </c>
      <c r="X203" s="197">
        <f t="shared" si="20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203">C204/100</f>
        <v>0</v>
      </c>
      <c r="X204" s="197">
        <f t="shared" si="20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204">C205/100</f>
        <v>0</v>
      </c>
      <c r="X205" s="197">
        <f t="shared" si="20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205">C206/100</f>
        <v>0</v>
      </c>
      <c r="X206" s="197">
        <f t="shared" si="20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206">C207/100</f>
        <v>0</v>
      </c>
      <c r="X207" s="197">
        <f t="shared" si="20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7">C208/100</f>
        <v>0</v>
      </c>
      <c r="X208" s="197">
        <f t="shared" si="20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8">C209/100</f>
        <v>0</v>
      </c>
      <c r="X209" s="197">
        <f t="shared" si="20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9">C210/100</f>
        <v>0</v>
      </c>
      <c r="X210" s="197">
        <f t="shared" si="20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10">C211/100</f>
        <v>0</v>
      </c>
      <c r="X211" s="197">
        <f t="shared" si="21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11">C212/100</f>
        <v>0</v>
      </c>
      <c r="X212" s="197">
        <f t="shared" si="21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12">C213/100</f>
        <v>0</v>
      </c>
      <c r="X213" s="197">
        <f t="shared" si="21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13">C214/100</f>
        <v>0</v>
      </c>
      <c r="X214" s="197">
        <f t="shared" si="21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14">C215/100</f>
        <v>0</v>
      </c>
      <c r="X215" s="197">
        <f t="shared" si="21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15">C216/100</f>
        <v>0</v>
      </c>
      <c r="X216" s="197">
        <f t="shared" si="21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16">C217/100</f>
        <v>0</v>
      </c>
      <c r="X217" s="197">
        <f t="shared" si="21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17">C218/100</f>
        <v>0</v>
      </c>
      <c r="X218" s="197">
        <f t="shared" si="21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8">C219/100</f>
        <v>0</v>
      </c>
      <c r="X219" s="197">
        <f t="shared" si="21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9">C220/100</f>
        <v>0</v>
      </c>
      <c r="X220" s="197">
        <f t="shared" si="21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20">C221/100</f>
        <v>0</v>
      </c>
      <c r="X221" s="197">
        <f t="shared" si="22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21">C222/100</f>
        <v>0</v>
      </c>
      <c r="X222" s="197">
        <f t="shared" si="22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customHeight="1">
      <c r="A223" s="160"/>
      <c r="B223" s="177"/>
      <c r="C223" s="177"/>
      <c r="D223" s="177"/>
      <c r="E223" s="177"/>
      <c r="F223" s="177"/>
      <c r="G223" s="177"/>
      <c r="H223" s="180"/>
      <c r="I223" s="160"/>
      <c r="J223" s="202">
        <f>+Q265</f>
        <v>175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22">C223/100</f>
        <v>0</v>
      </c>
      <c r="X223" s="197">
        <f t="shared" si="22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customHeight="1">
      <c r="A224" s="160"/>
      <c r="B224" s="204"/>
      <c r="C224" s="204"/>
      <c r="D224" s="204"/>
      <c r="E224" s="204"/>
      <c r="F224" s="204"/>
      <c r="G224" s="204"/>
      <c r="H224" s="205"/>
      <c r="I224" s="206">
        <f>SUM(I21:I222)</f>
        <v>35</v>
      </c>
      <c r="J224" s="207">
        <f>SUM(J21:J223)</f>
        <v>24402.16893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SUMIFS($T$21:$T$222,$S$21:$S$222,"&gt;=3")</f>
        <v>18</v>
      </c>
      <c r="T224" s="208">
        <f t="shared" ref="T224:U224" si="223">SUM(T21:T222)</f>
        <v>35</v>
      </c>
      <c r="U224" s="208">
        <f t="shared" si="223"/>
        <v>536.81</v>
      </c>
      <c r="V224" s="208"/>
      <c r="W224" s="208"/>
      <c r="X224" s="208"/>
      <c r="Y224" s="208"/>
      <c r="Z224" s="209">
        <f>SUM(Z21:Z223)</f>
        <v>1131.81975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59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0">
        <f>SUMIFS($J$21:$J$222,$S$21:$S$222,"&gt;=3")</f>
        <v>23154.12469</v>
      </c>
      <c r="U227" s="211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2">
        <f>J224-T227</f>
        <v>1248.044241</v>
      </c>
      <c r="U228" s="211">
        <f>+SUMIFS($U$21:$U$222,$S$21:$S$222,"&gt;=3")</f>
        <v>508.46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3">
        <f>+I224</f>
        <v>35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39.0" customHeight="1">
      <c r="A230" s="177"/>
      <c r="B230" s="160" t="s">
        <v>12</v>
      </c>
      <c r="C230" s="178" t="s">
        <v>60</v>
      </c>
      <c r="D230" s="52"/>
      <c r="E230" s="53"/>
      <c r="F230" s="179"/>
      <c r="G230" s="179"/>
      <c r="H230" s="180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54">
        <v>1.0</v>
      </c>
      <c r="B231" s="214"/>
      <c r="C231" s="214"/>
      <c r="D231" s="214"/>
      <c r="E231" s="214"/>
      <c r="F231" s="214">
        <f t="shared" ref="F231:F244" si="224">1-VALUE(IF(RIGHT(B231, 1)="%", RIGHT(B231, 3), 0))</f>
        <v>1</v>
      </c>
      <c r="G231" s="214">
        <f t="shared" ref="G231:G244" si="225">+Q231*C231/100*D231/100*E231/100</f>
        <v>0</v>
      </c>
      <c r="H231" s="215">
        <f t="shared" ref="H231:H244" si="226">IF(F231=0, G231, F231*G231)</f>
        <v>0</v>
      </c>
      <c r="I231" s="214"/>
      <c r="J231" s="216"/>
      <c r="K231" s="139"/>
      <c r="L231" s="177">
        <f t="shared" ref="L231:L239" si="227">D231*25.4/1000</f>
        <v>0</v>
      </c>
      <c r="M231" s="160" t="str">
        <f t="shared" ref="M231:M235" si="228">+I231</f>
        <v/>
      </c>
      <c r="N231" s="160">
        <f t="shared" ref="N231:N235" si="229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54">
        <v>2.0</v>
      </c>
      <c r="B232" s="214"/>
      <c r="C232" s="214"/>
      <c r="D232" s="214"/>
      <c r="E232" s="214"/>
      <c r="F232" s="214">
        <f t="shared" si="224"/>
        <v>1</v>
      </c>
      <c r="G232" s="214">
        <f t="shared" si="225"/>
        <v>0</v>
      </c>
      <c r="H232" s="215">
        <f t="shared" si="226"/>
        <v>0</v>
      </c>
      <c r="I232" s="214"/>
      <c r="J232" s="216">
        <f t="shared" ref="J232:J244" si="230">+I232*H232</f>
        <v>0</v>
      </c>
      <c r="K232" s="139"/>
      <c r="L232" s="177">
        <f t="shared" si="227"/>
        <v>0</v>
      </c>
      <c r="M232" s="160" t="str">
        <f t="shared" si="228"/>
        <v/>
      </c>
      <c r="N232" s="160">
        <f t="shared" si="229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54">
        <v>3.0</v>
      </c>
      <c r="B233" s="217"/>
      <c r="C233" s="217"/>
      <c r="D233" s="217"/>
      <c r="E233" s="217"/>
      <c r="F233" s="217">
        <f t="shared" si="224"/>
        <v>1</v>
      </c>
      <c r="G233" s="217">
        <f t="shared" si="225"/>
        <v>0</v>
      </c>
      <c r="H233" s="218">
        <f t="shared" si="226"/>
        <v>0</v>
      </c>
      <c r="I233" s="217"/>
      <c r="J233" s="194">
        <f t="shared" si="230"/>
        <v>0</v>
      </c>
      <c r="K233" s="139"/>
      <c r="L233" s="177">
        <f t="shared" si="227"/>
        <v>0</v>
      </c>
      <c r="M233" s="160" t="str">
        <f t="shared" si="228"/>
        <v/>
      </c>
      <c r="N233" s="160">
        <f t="shared" si="229"/>
        <v>0</v>
      </c>
      <c r="O233" s="139"/>
      <c r="P233" s="139"/>
      <c r="Q233" s="139"/>
      <c r="R233" s="139"/>
      <c r="S233" s="21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54">
        <v>4.0</v>
      </c>
      <c r="B234" s="217"/>
      <c r="C234" s="217"/>
      <c r="D234" s="217"/>
      <c r="E234" s="217"/>
      <c r="F234" s="217">
        <f t="shared" si="224"/>
        <v>1</v>
      </c>
      <c r="G234" s="217">
        <f t="shared" si="225"/>
        <v>0</v>
      </c>
      <c r="H234" s="218">
        <f t="shared" si="226"/>
        <v>0</v>
      </c>
      <c r="I234" s="217"/>
      <c r="J234" s="194">
        <f t="shared" si="230"/>
        <v>0</v>
      </c>
      <c r="K234" s="139"/>
      <c r="L234" s="177">
        <f t="shared" si="227"/>
        <v>0</v>
      </c>
      <c r="M234" s="160" t="str">
        <f t="shared" si="228"/>
        <v/>
      </c>
      <c r="N234" s="160">
        <f t="shared" si="229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5.0</v>
      </c>
      <c r="B235" s="217"/>
      <c r="C235" s="217"/>
      <c r="D235" s="217"/>
      <c r="E235" s="217"/>
      <c r="F235" s="217">
        <f t="shared" si="224"/>
        <v>1</v>
      </c>
      <c r="G235" s="217">
        <f t="shared" si="225"/>
        <v>0</v>
      </c>
      <c r="H235" s="218">
        <f t="shared" si="226"/>
        <v>0</v>
      </c>
      <c r="I235" s="217"/>
      <c r="J235" s="194">
        <f t="shared" si="230"/>
        <v>0</v>
      </c>
      <c r="K235" s="139"/>
      <c r="L235" s="177">
        <f t="shared" si="227"/>
        <v>0</v>
      </c>
      <c r="M235" s="160" t="str">
        <f t="shared" si="228"/>
        <v/>
      </c>
      <c r="N235" s="160">
        <f t="shared" si="229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hidden="1" customHeight="1">
      <c r="A236" s="154">
        <v>6.0</v>
      </c>
      <c r="B236" s="217"/>
      <c r="C236" s="217"/>
      <c r="D236" s="217"/>
      <c r="E236" s="217"/>
      <c r="F236" s="217">
        <f t="shared" si="224"/>
        <v>1</v>
      </c>
      <c r="G236" s="217">
        <f t="shared" si="225"/>
        <v>0</v>
      </c>
      <c r="H236" s="218">
        <f t="shared" si="226"/>
        <v>0</v>
      </c>
      <c r="I236" s="217"/>
      <c r="J236" s="194">
        <f t="shared" si="230"/>
        <v>0</v>
      </c>
      <c r="K236" s="139"/>
      <c r="L236" s="139">
        <f t="shared" si="227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54">
        <v>7.0</v>
      </c>
      <c r="B237" s="217"/>
      <c r="C237" s="217"/>
      <c r="D237" s="217"/>
      <c r="E237" s="217"/>
      <c r="F237" s="217">
        <f t="shared" si="224"/>
        <v>1</v>
      </c>
      <c r="G237" s="217">
        <f t="shared" si="225"/>
        <v>0</v>
      </c>
      <c r="H237" s="218">
        <f t="shared" si="226"/>
        <v>0</v>
      </c>
      <c r="I237" s="217"/>
      <c r="J237" s="194">
        <f t="shared" si="230"/>
        <v>0</v>
      </c>
      <c r="K237" s="139"/>
      <c r="L237" s="139">
        <f t="shared" si="227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4">
        <v>8.0</v>
      </c>
      <c r="B238" s="217"/>
      <c r="C238" s="217"/>
      <c r="D238" s="217"/>
      <c r="E238" s="217"/>
      <c r="F238" s="217">
        <f t="shared" si="224"/>
        <v>1</v>
      </c>
      <c r="G238" s="217">
        <f t="shared" si="225"/>
        <v>0</v>
      </c>
      <c r="H238" s="218">
        <f t="shared" si="226"/>
        <v>0</v>
      </c>
      <c r="I238" s="217"/>
      <c r="J238" s="194">
        <f t="shared" si="230"/>
        <v>0</v>
      </c>
      <c r="K238" s="139"/>
      <c r="L238" s="139">
        <f t="shared" si="227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4">
        <v>9.0</v>
      </c>
      <c r="B239" s="217"/>
      <c r="C239" s="217"/>
      <c r="D239" s="217"/>
      <c r="E239" s="217"/>
      <c r="F239" s="217">
        <f t="shared" si="224"/>
        <v>1</v>
      </c>
      <c r="G239" s="217">
        <f t="shared" si="225"/>
        <v>0</v>
      </c>
      <c r="H239" s="218">
        <f t="shared" si="226"/>
        <v>0</v>
      </c>
      <c r="I239" s="217"/>
      <c r="J239" s="194">
        <f t="shared" si="230"/>
        <v>0</v>
      </c>
      <c r="K239" s="139"/>
      <c r="L239" s="139">
        <f t="shared" si="227"/>
        <v>0</v>
      </c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10.0</v>
      </c>
      <c r="B240" s="192"/>
      <c r="C240" s="192"/>
      <c r="D240" s="192"/>
      <c r="E240" s="192"/>
      <c r="F240" s="192">
        <f t="shared" si="224"/>
        <v>1</v>
      </c>
      <c r="G240" s="192">
        <f t="shared" si="225"/>
        <v>0</v>
      </c>
      <c r="H240" s="193">
        <f t="shared" si="226"/>
        <v>0</v>
      </c>
      <c r="I240" s="192"/>
      <c r="J240" s="194">
        <f t="shared" si="230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11.0</v>
      </c>
      <c r="B241" s="192"/>
      <c r="C241" s="192"/>
      <c r="D241" s="192"/>
      <c r="E241" s="192"/>
      <c r="F241" s="192">
        <f t="shared" si="224"/>
        <v>1</v>
      </c>
      <c r="G241" s="192">
        <f t="shared" si="225"/>
        <v>0</v>
      </c>
      <c r="H241" s="193">
        <f t="shared" si="226"/>
        <v>0</v>
      </c>
      <c r="I241" s="192"/>
      <c r="J241" s="194">
        <f t="shared" si="230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12.0</v>
      </c>
      <c r="B242" s="192"/>
      <c r="C242" s="192"/>
      <c r="D242" s="192"/>
      <c r="E242" s="192"/>
      <c r="F242" s="192">
        <f t="shared" si="224"/>
        <v>1</v>
      </c>
      <c r="G242" s="192">
        <f t="shared" si="225"/>
        <v>0</v>
      </c>
      <c r="H242" s="193">
        <f t="shared" si="226"/>
        <v>0</v>
      </c>
      <c r="I242" s="192"/>
      <c r="J242" s="194">
        <f t="shared" si="230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13.0</v>
      </c>
      <c r="B243" s="192"/>
      <c r="C243" s="192"/>
      <c r="D243" s="192"/>
      <c r="E243" s="192"/>
      <c r="F243" s="192">
        <f t="shared" si="224"/>
        <v>1</v>
      </c>
      <c r="G243" s="192">
        <f t="shared" si="225"/>
        <v>0</v>
      </c>
      <c r="H243" s="193">
        <f t="shared" si="226"/>
        <v>0</v>
      </c>
      <c r="I243" s="192"/>
      <c r="J243" s="194">
        <f t="shared" si="230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14.0</v>
      </c>
      <c r="B244" s="192"/>
      <c r="C244" s="192"/>
      <c r="D244" s="192"/>
      <c r="E244" s="192"/>
      <c r="F244" s="192">
        <f t="shared" si="224"/>
        <v>1</v>
      </c>
      <c r="G244" s="192">
        <f t="shared" si="225"/>
        <v>0</v>
      </c>
      <c r="H244" s="193">
        <f t="shared" si="226"/>
        <v>0</v>
      </c>
      <c r="I244" s="192"/>
      <c r="J244" s="194">
        <f t="shared" si="230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4.75" customHeight="1">
      <c r="A245" s="160"/>
      <c r="B245" s="195"/>
      <c r="C245" s="195"/>
      <c r="D245" s="195"/>
      <c r="E245" s="195"/>
      <c r="F245" s="195"/>
      <c r="G245" s="195"/>
      <c r="H245" s="221" t="s">
        <v>38</v>
      </c>
      <c r="I245" s="195"/>
      <c r="J245" s="222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42.0" customHeight="1">
      <c r="A251" s="177"/>
      <c r="B251" s="160" t="s">
        <v>12</v>
      </c>
      <c r="C251" s="178" t="s">
        <v>61</v>
      </c>
      <c r="D251" s="52"/>
      <c r="E251" s="53"/>
      <c r="F251" s="224"/>
      <c r="G251" s="224"/>
      <c r="H251" s="180" t="s">
        <v>14</v>
      </c>
      <c r="I251" s="225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4.75" customHeight="1">
      <c r="A252" s="160">
        <v>1.0</v>
      </c>
      <c r="B252" s="182" t="s">
        <v>55</v>
      </c>
      <c r="C252" s="198"/>
      <c r="D252" s="198"/>
      <c r="E252" s="198"/>
      <c r="F252" s="198"/>
      <c r="G252" s="198"/>
      <c r="H252" s="226">
        <v>35.0</v>
      </c>
      <c r="I252" s="198">
        <v>1.0</v>
      </c>
      <c r="J252" s="194">
        <f t="shared" ref="J252:J263" si="231">+I252*H252</f>
        <v>35</v>
      </c>
      <c r="K252" s="177"/>
      <c r="L252" s="177"/>
      <c r="M252" s="177"/>
      <c r="N252" s="177"/>
      <c r="O252" s="177"/>
      <c r="P252" s="177"/>
      <c r="Q252" s="227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0">
        <v>2.0</v>
      </c>
      <c r="B253" s="192" t="s">
        <v>55</v>
      </c>
      <c r="C253" s="198"/>
      <c r="D253" s="198"/>
      <c r="E253" s="198"/>
      <c r="F253" s="198"/>
      <c r="G253" s="198"/>
      <c r="H253" s="226">
        <v>22.0</v>
      </c>
      <c r="I253" s="198">
        <v>1.0</v>
      </c>
      <c r="J253" s="194">
        <f t="shared" si="231"/>
        <v>22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0">
        <v>3.0</v>
      </c>
      <c r="B254" s="182" t="s">
        <v>66</v>
      </c>
      <c r="C254" s="198"/>
      <c r="D254" s="198"/>
      <c r="E254" s="198"/>
      <c r="F254" s="198"/>
      <c r="G254" s="198"/>
      <c r="H254" s="226">
        <v>44.0</v>
      </c>
      <c r="I254" s="198">
        <v>1.0</v>
      </c>
      <c r="J254" s="194">
        <f t="shared" si="231"/>
        <v>44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4.75" customHeight="1">
      <c r="A255" s="160">
        <v>4.0</v>
      </c>
      <c r="B255" s="192" t="s">
        <v>66</v>
      </c>
      <c r="C255" s="198"/>
      <c r="D255" s="198"/>
      <c r="E255" s="198"/>
      <c r="F255" s="198"/>
      <c r="G255" s="198"/>
      <c r="H255" s="226">
        <v>36.0</v>
      </c>
      <c r="I255" s="198">
        <v>1.0</v>
      </c>
      <c r="J255" s="194">
        <f t="shared" si="231"/>
        <v>36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>
        <v>5.0</v>
      </c>
      <c r="B256" s="182" t="s">
        <v>67</v>
      </c>
      <c r="C256" s="198"/>
      <c r="D256" s="198"/>
      <c r="E256" s="198"/>
      <c r="F256" s="198"/>
      <c r="G256" s="198"/>
      <c r="H256" s="226">
        <v>51.0</v>
      </c>
      <c r="I256" s="198">
        <v>1.0</v>
      </c>
      <c r="J256" s="194">
        <f t="shared" si="231"/>
        <v>51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4.75" customHeight="1">
      <c r="A257" s="160">
        <v>6.0</v>
      </c>
      <c r="B257" s="192" t="s">
        <v>67</v>
      </c>
      <c r="C257" s="198"/>
      <c r="D257" s="198"/>
      <c r="E257" s="198"/>
      <c r="F257" s="198"/>
      <c r="G257" s="198"/>
      <c r="H257" s="226">
        <v>17.0</v>
      </c>
      <c r="I257" s="198">
        <v>1.0</v>
      </c>
      <c r="J257" s="194">
        <f t="shared" si="231"/>
        <v>17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>
        <v>7.0</v>
      </c>
      <c r="B258" s="182" t="s">
        <v>68</v>
      </c>
      <c r="C258" s="198"/>
      <c r="D258" s="198"/>
      <c r="E258" s="198"/>
      <c r="F258" s="198"/>
      <c r="G258" s="198"/>
      <c r="H258" s="226">
        <v>75.0</v>
      </c>
      <c r="I258" s="198">
        <v>1.0</v>
      </c>
      <c r="J258" s="194">
        <f t="shared" si="231"/>
        <v>75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24.75" customHeight="1">
      <c r="A259" s="160">
        <v>8.0</v>
      </c>
      <c r="B259" s="192" t="s">
        <v>68</v>
      </c>
      <c r="C259" s="198"/>
      <c r="D259" s="198"/>
      <c r="E259" s="198"/>
      <c r="F259" s="198"/>
      <c r="G259" s="198"/>
      <c r="H259" s="226">
        <v>44.0</v>
      </c>
      <c r="I259" s="198">
        <v>1.0</v>
      </c>
      <c r="J259" s="194">
        <f t="shared" si="231"/>
        <v>44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9.0</v>
      </c>
      <c r="B260" s="182" t="s">
        <v>69</v>
      </c>
      <c r="C260" s="198"/>
      <c r="D260" s="198"/>
      <c r="E260" s="198"/>
      <c r="F260" s="198"/>
      <c r="G260" s="198"/>
      <c r="H260" s="226">
        <v>38.0</v>
      </c>
      <c r="I260" s="198">
        <v>1.0</v>
      </c>
      <c r="J260" s="194">
        <f t="shared" si="231"/>
        <v>38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0">
        <v>10.0</v>
      </c>
      <c r="B261" s="192" t="s">
        <v>69</v>
      </c>
      <c r="C261" s="198"/>
      <c r="D261" s="198"/>
      <c r="E261" s="198"/>
      <c r="F261" s="198"/>
      <c r="G261" s="198"/>
      <c r="H261" s="226">
        <v>34.0</v>
      </c>
      <c r="I261" s="198">
        <v>1.0</v>
      </c>
      <c r="J261" s="194">
        <f t="shared" si="231"/>
        <v>34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0">
        <v>11.0</v>
      </c>
      <c r="B262" s="182" t="s">
        <v>70</v>
      </c>
      <c r="C262" s="198"/>
      <c r="D262" s="198"/>
      <c r="E262" s="198"/>
      <c r="F262" s="198"/>
      <c r="G262" s="198"/>
      <c r="H262" s="226">
        <v>26.0</v>
      </c>
      <c r="I262" s="198">
        <v>1.0</v>
      </c>
      <c r="J262" s="194">
        <f t="shared" si="231"/>
        <v>26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12.0</v>
      </c>
      <c r="B263" s="192" t="s">
        <v>70</v>
      </c>
      <c r="C263" s="198"/>
      <c r="D263" s="198"/>
      <c r="E263" s="198"/>
      <c r="F263" s="198"/>
      <c r="G263" s="198"/>
      <c r="H263" s="226">
        <v>15.5</v>
      </c>
      <c r="I263" s="198">
        <v>1.0</v>
      </c>
      <c r="J263" s="194">
        <f t="shared" si="231"/>
        <v>15.5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 t="s">
        <v>38</v>
      </c>
      <c r="I264" s="139"/>
      <c r="J264" s="232">
        <f>SUM(J252:J263)</f>
        <v>437.5</v>
      </c>
      <c r="K264" s="233"/>
      <c r="L264" s="233"/>
      <c r="M264" s="233"/>
      <c r="N264" s="233"/>
      <c r="O264" s="233"/>
      <c r="P264" s="233"/>
      <c r="Q264" s="233"/>
      <c r="R264" s="139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18.75" customHeight="1">
      <c r="A265" s="144"/>
      <c r="B265" s="144"/>
      <c r="C265" s="144"/>
      <c r="D265" s="144"/>
      <c r="E265" s="144"/>
      <c r="F265" s="144"/>
      <c r="G265" s="144"/>
      <c r="H265" s="145"/>
      <c r="I265" s="173"/>
      <c r="J265" s="204">
        <f>+J264*60%</f>
        <v>262.5</v>
      </c>
      <c r="K265" s="204"/>
      <c r="L265" s="204"/>
      <c r="M265" s="204"/>
      <c r="N265" s="204"/>
      <c r="O265" s="204"/>
      <c r="P265" s="204"/>
      <c r="Q265" s="204">
        <f>+J264*40%</f>
        <v>175</v>
      </c>
      <c r="R265" s="139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19.5" customHeight="1">
      <c r="A268" s="234" t="s">
        <v>41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57.0" customHeight="1">
      <c r="A269" s="235"/>
      <c r="B269" s="236" t="s">
        <v>42</v>
      </c>
      <c r="C269" s="236" t="s">
        <v>43</v>
      </c>
      <c r="D269" s="236" t="s">
        <v>44</v>
      </c>
      <c r="E269" s="236" t="s">
        <v>45</v>
      </c>
      <c r="F269" s="236"/>
      <c r="G269" s="236"/>
      <c r="H269" s="237" t="s">
        <v>46</v>
      </c>
      <c r="I269" s="238" t="s">
        <v>47</v>
      </c>
      <c r="J269" s="139"/>
      <c r="K269" s="139"/>
      <c r="L269" s="139"/>
      <c r="M269" s="139"/>
      <c r="N269" s="139"/>
      <c r="O269" s="139"/>
      <c r="P269" s="139"/>
      <c r="Q269" s="139"/>
      <c r="R269" s="141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18.75" customHeight="1">
      <c r="A270" s="239" t="s">
        <v>48</v>
      </c>
      <c r="B270" s="240">
        <f>+E14</f>
        <v>27897.0617</v>
      </c>
      <c r="C270" s="241">
        <f>+J224</f>
        <v>24402.16893</v>
      </c>
      <c r="D270" s="241">
        <f>+J245</f>
        <v>0</v>
      </c>
      <c r="E270" s="242">
        <f>J265</f>
        <v>262.5</v>
      </c>
      <c r="F270" s="242"/>
      <c r="G270" s="242"/>
      <c r="H270" s="243">
        <f>+I14</f>
        <v>2378.418427</v>
      </c>
      <c r="I270" s="244">
        <f>+B270-C270-D270-E270-H270</f>
        <v>853.9743396</v>
      </c>
      <c r="J270" s="139"/>
      <c r="K270" s="139"/>
      <c r="L270" s="139"/>
      <c r="M270" s="139"/>
      <c r="N270" s="139"/>
      <c r="O270" s="139"/>
      <c r="P270" s="139"/>
      <c r="Q270" s="139"/>
      <c r="R270" s="141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19.5" customHeight="1">
      <c r="A271" s="245" t="s">
        <v>49</v>
      </c>
      <c r="B271" s="246"/>
      <c r="C271" s="247">
        <f>+C270/B270</f>
        <v>0.8747218326</v>
      </c>
      <c r="D271" s="247">
        <f>+D270/B270</f>
        <v>0</v>
      </c>
      <c r="E271" s="247">
        <f>+E270/B270</f>
        <v>0.009409593126</v>
      </c>
      <c r="F271" s="247"/>
      <c r="G271" s="247"/>
      <c r="H271" s="248">
        <f>+H270/B270</f>
        <v>0.08525695115</v>
      </c>
      <c r="I271" s="249">
        <f>+I270/B270</f>
        <v>0.03061162315</v>
      </c>
      <c r="J271" s="139"/>
      <c r="K271" s="139"/>
      <c r="L271" s="139"/>
      <c r="M271" s="139"/>
      <c r="N271" s="139"/>
      <c r="O271" s="139"/>
      <c r="P271" s="139"/>
      <c r="Q271" s="139"/>
      <c r="R271" s="141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9.5" customHeight="1">
      <c r="A272" s="163"/>
      <c r="B272" s="220"/>
      <c r="C272" s="250"/>
      <c r="D272" s="250"/>
      <c r="E272" s="250"/>
      <c r="F272" s="250"/>
      <c r="G272" s="250"/>
      <c r="H272" s="251"/>
      <c r="I272" s="252"/>
      <c r="J272" s="139"/>
      <c r="K272" s="139"/>
      <c r="L272" s="139"/>
      <c r="M272" s="139"/>
      <c r="N272" s="139"/>
      <c r="O272" s="139"/>
      <c r="P272" s="139"/>
      <c r="Q272" s="139"/>
      <c r="R272" s="141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8.75" customHeight="1">
      <c r="A273" s="253"/>
      <c r="B273" s="254"/>
      <c r="C273" s="254"/>
      <c r="D273" s="254" t="s">
        <v>50</v>
      </c>
      <c r="E273" s="254" t="s">
        <v>48</v>
      </c>
      <c r="F273" s="254"/>
      <c r="G273" s="254"/>
      <c r="H273" s="255">
        <f>+D270+E270+H270+I270</f>
        <v>3494.892766</v>
      </c>
      <c r="I273" s="256"/>
      <c r="J273" s="139"/>
      <c r="K273" s="139"/>
      <c r="L273" s="139"/>
      <c r="M273" s="139"/>
      <c r="N273" s="139"/>
      <c r="O273" s="139"/>
      <c r="P273" s="139"/>
      <c r="Q273" s="139"/>
      <c r="R273" s="141"/>
      <c r="S273" s="140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257"/>
      <c r="B274" s="139"/>
      <c r="C274" s="139"/>
      <c r="D274" s="139"/>
      <c r="E274" s="139" t="s">
        <v>49</v>
      </c>
      <c r="F274" s="139"/>
      <c r="G274" s="139"/>
      <c r="H274" s="251">
        <f>+H273/B270</f>
        <v>0.1252781674</v>
      </c>
      <c r="I274" s="258"/>
      <c r="J274" s="139"/>
      <c r="K274" s="139"/>
      <c r="L274" s="139"/>
      <c r="M274" s="139"/>
      <c r="N274" s="139"/>
      <c r="O274" s="139"/>
      <c r="P274" s="139"/>
      <c r="Q274" s="139"/>
      <c r="R274" s="141"/>
      <c r="S274" s="140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8.75" customHeight="1">
      <c r="A275" s="257"/>
      <c r="B275" s="139"/>
      <c r="C275" s="139" t="s">
        <v>51</v>
      </c>
      <c r="D275" s="139"/>
      <c r="E275" s="139"/>
      <c r="F275" s="139"/>
      <c r="G275" s="139"/>
      <c r="H275" s="140"/>
      <c r="I275" s="258"/>
      <c r="J275" s="139"/>
      <c r="K275" s="139"/>
      <c r="L275" s="139"/>
      <c r="M275" s="139"/>
      <c r="N275" s="139"/>
      <c r="O275" s="139"/>
      <c r="P275" s="139"/>
      <c r="Q275" s="139"/>
      <c r="R275" s="141"/>
      <c r="S275" s="140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18.75" customHeight="1">
      <c r="A276" s="257"/>
      <c r="B276" s="139"/>
      <c r="C276" s="139"/>
      <c r="D276" s="139" t="s">
        <v>52</v>
      </c>
      <c r="E276" s="139"/>
      <c r="F276" s="139"/>
      <c r="G276" s="139"/>
      <c r="H276" s="140">
        <f>+H275*(H273-H270)</f>
        <v>0</v>
      </c>
      <c r="I276" s="258"/>
      <c r="J276" s="139"/>
      <c r="K276" s="139"/>
      <c r="L276" s="139"/>
      <c r="M276" s="139"/>
      <c r="N276" s="139"/>
      <c r="O276" s="139"/>
      <c r="P276" s="139"/>
      <c r="Q276" s="139"/>
      <c r="R276" s="141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19.5" customHeight="1">
      <c r="A277" s="259"/>
      <c r="B277" s="260"/>
      <c r="C277" s="260"/>
      <c r="D277" s="260"/>
      <c r="E277" s="260"/>
      <c r="F277" s="260"/>
      <c r="G277" s="260"/>
      <c r="H277" s="261"/>
      <c r="I277" s="262"/>
      <c r="J277" s="139"/>
      <c r="K277" s="139"/>
      <c r="L277" s="139"/>
      <c r="M277" s="139"/>
      <c r="N277" s="139"/>
      <c r="O277" s="139"/>
      <c r="P277" s="139"/>
      <c r="Q277" s="139"/>
      <c r="R277" s="141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41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4" width="9.14"/>
    <col customWidth="1" min="25" max="25" width="10.43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63</v>
      </c>
      <c r="C8" s="154">
        <v>25.5</v>
      </c>
      <c r="D8" s="155">
        <v>0.0577</v>
      </c>
      <c r="E8" s="156">
        <f>262.536*27</f>
        <v>7088.472</v>
      </c>
      <c r="F8" s="156"/>
      <c r="G8" s="156"/>
      <c r="H8" s="157">
        <v>27.0</v>
      </c>
      <c r="I8" s="158">
        <f t="shared" ref="I8:I21" si="1">+D8*E8</f>
        <v>409.0048344</v>
      </c>
      <c r="J8" s="159">
        <f t="shared" ref="J8:J21" si="2">E8-I8</f>
        <v>6679.467166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73</v>
      </c>
      <c r="C9" s="154">
        <v>20.5</v>
      </c>
      <c r="D9" s="155">
        <v>0.0899</v>
      </c>
      <c r="E9" s="156">
        <f>215.703*27.7</f>
        <v>5974.9731</v>
      </c>
      <c r="F9" s="156"/>
      <c r="G9" s="156"/>
      <c r="H9" s="157">
        <v>27.7</v>
      </c>
      <c r="I9" s="158">
        <f t="shared" si="1"/>
        <v>537.1500817</v>
      </c>
      <c r="J9" s="159">
        <f t="shared" si="2"/>
        <v>5437.823018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13063.4451</v>
      </c>
      <c r="F22" s="168"/>
      <c r="G22" s="168"/>
      <c r="H22" s="169"/>
      <c r="I22" s="170">
        <f t="shared" ref="I22:J22" si="3">SUM(I8:I21)</f>
        <v>946.1549161</v>
      </c>
      <c r="J22" s="171">
        <f t="shared" si="3"/>
        <v>12117.29018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74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63</v>
      </c>
      <c r="C29" s="183">
        <v>87.0</v>
      </c>
      <c r="D29" s="183">
        <v>204.0</v>
      </c>
      <c r="E29" s="183">
        <v>175.0</v>
      </c>
      <c r="F29" s="183">
        <f t="shared" ref="F29:F212" si="5">VALUE(IF(RIGHT(B29, 1)="%", RIGHT(B29, 3), 0))</f>
        <v>0</v>
      </c>
      <c r="G29" s="183">
        <f t="shared" ref="G29:G212" si="6">+R29*C29/100*D29/100*E29/100</f>
        <v>79.20045</v>
      </c>
      <c r="H29" s="184">
        <f t="shared" ref="H29:H212" si="7">IF(F29=0, G29, F29*G29)</f>
        <v>79.20045</v>
      </c>
      <c r="I29" s="183">
        <v>1.0</v>
      </c>
      <c r="J29" s="185">
        <f t="shared" ref="J29:J212" si="8">+I29*H29</f>
        <v>79.20045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88.0</v>
      </c>
      <c r="R29" s="189">
        <v>25.5</v>
      </c>
      <c r="S29" s="177">
        <f t="shared" ref="S29:S213" si="9">E29/100</f>
        <v>1.75</v>
      </c>
      <c r="T29" s="160">
        <f t="shared" ref="T29:T213" si="10">I29</f>
        <v>1</v>
      </c>
      <c r="U29" s="160">
        <f t="shared" ref="U29:U213" si="11">T29*S29</f>
        <v>1.75</v>
      </c>
      <c r="V29" s="190">
        <f t="shared" ref="V29:V70" si="12">R29*C29/100*D29/100*E29/100</f>
        <v>79.20045</v>
      </c>
      <c r="W29" s="177">
        <f t="shared" ref="W29:X29" si="4">C29/100</f>
        <v>0.87</v>
      </c>
      <c r="X29" s="177">
        <f t="shared" si="4"/>
        <v>2.04</v>
      </c>
      <c r="Y29" s="177">
        <f t="shared" ref="Y29:Y213" si="14">U29</f>
        <v>1.75</v>
      </c>
      <c r="Z29" s="191">
        <f t="shared" ref="Z29:Z213" si="15">W29*X29*Y29</f>
        <v>3.1059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63</v>
      </c>
      <c r="C30" s="192">
        <v>102.0</v>
      </c>
      <c r="D30" s="192">
        <v>204.0</v>
      </c>
      <c r="E30" s="192">
        <v>199.0</v>
      </c>
      <c r="F30" s="192">
        <f t="shared" si="5"/>
        <v>0</v>
      </c>
      <c r="G30" s="192">
        <f t="shared" si="6"/>
        <v>105.590196</v>
      </c>
      <c r="H30" s="193">
        <f t="shared" si="7"/>
        <v>105.590196</v>
      </c>
      <c r="I30" s="192">
        <v>1.0</v>
      </c>
      <c r="J30" s="194">
        <f t="shared" si="8"/>
        <v>105.590196</v>
      </c>
      <c r="K30" s="139"/>
      <c r="L30" s="177"/>
      <c r="M30" s="160"/>
      <c r="N30" s="160"/>
      <c r="O30" s="139"/>
      <c r="P30" s="139"/>
      <c r="Q30" s="177">
        <v>107.5</v>
      </c>
      <c r="R30" s="189">
        <v>25.5</v>
      </c>
      <c r="S30" s="177">
        <f t="shared" si="9"/>
        <v>1.99</v>
      </c>
      <c r="T30" s="160">
        <f t="shared" si="10"/>
        <v>1</v>
      </c>
      <c r="U30" s="160">
        <f t="shared" si="11"/>
        <v>1.99</v>
      </c>
      <c r="V30" s="190">
        <f t="shared" si="12"/>
        <v>105.590196</v>
      </c>
      <c r="W30" s="177">
        <f t="shared" ref="W30:X30" si="13">C30/100</f>
        <v>1.02</v>
      </c>
      <c r="X30" s="177">
        <f t="shared" si="13"/>
        <v>2.04</v>
      </c>
      <c r="Y30" s="177">
        <f t="shared" si="14"/>
        <v>1.99</v>
      </c>
      <c r="Z30" s="191">
        <f t="shared" si="15"/>
        <v>4.140792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63</v>
      </c>
      <c r="C31" s="192">
        <v>102.0</v>
      </c>
      <c r="D31" s="192">
        <v>204.0</v>
      </c>
      <c r="E31" s="192">
        <v>114.0</v>
      </c>
      <c r="F31" s="192">
        <f t="shared" si="5"/>
        <v>0</v>
      </c>
      <c r="G31" s="192">
        <f t="shared" si="6"/>
        <v>60.488856</v>
      </c>
      <c r="H31" s="193">
        <f t="shared" si="7"/>
        <v>60.488856</v>
      </c>
      <c r="I31" s="192">
        <v>1.0</v>
      </c>
      <c r="J31" s="194">
        <f t="shared" si="8"/>
        <v>60.488856</v>
      </c>
      <c r="K31" s="139"/>
      <c r="L31" s="177">
        <f t="shared" ref="L31:L45" si="17">D31*25.4/1000</f>
        <v>5.1816</v>
      </c>
      <c r="M31" s="160">
        <f t="shared" ref="M31:M45" si="18">+I31</f>
        <v>1</v>
      </c>
      <c r="N31" s="160">
        <f t="shared" ref="N31:N45" si="19">M31*L31</f>
        <v>5.1816</v>
      </c>
      <c r="O31" s="139"/>
      <c r="P31" s="139"/>
      <c r="Q31" s="177">
        <v>102.0</v>
      </c>
      <c r="R31" s="189">
        <v>25.5</v>
      </c>
      <c r="S31" s="177">
        <f t="shared" si="9"/>
        <v>1.14</v>
      </c>
      <c r="T31" s="160">
        <f t="shared" si="10"/>
        <v>1</v>
      </c>
      <c r="U31" s="160">
        <f t="shared" si="11"/>
        <v>1.14</v>
      </c>
      <c r="V31" s="190">
        <f t="shared" si="12"/>
        <v>60.488856</v>
      </c>
      <c r="W31" s="177">
        <f t="shared" ref="W31:X31" si="16">C31/100</f>
        <v>1.02</v>
      </c>
      <c r="X31" s="177">
        <f t="shared" si="16"/>
        <v>2.04</v>
      </c>
      <c r="Y31" s="177">
        <f t="shared" si="14"/>
        <v>1.14</v>
      </c>
      <c r="Z31" s="191">
        <f t="shared" si="15"/>
        <v>2.372112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63</v>
      </c>
      <c r="C32" s="192">
        <v>85.0</v>
      </c>
      <c r="D32" s="192">
        <v>204.0</v>
      </c>
      <c r="E32" s="192">
        <v>240.0</v>
      </c>
      <c r="F32" s="192">
        <f t="shared" si="5"/>
        <v>0</v>
      </c>
      <c r="G32" s="192">
        <f t="shared" si="6"/>
        <v>106.1208</v>
      </c>
      <c r="H32" s="193">
        <f t="shared" si="7"/>
        <v>106.1208</v>
      </c>
      <c r="I32" s="192">
        <v>1.0</v>
      </c>
      <c r="J32" s="194">
        <f t="shared" si="8"/>
        <v>106.1208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128.0</v>
      </c>
      <c r="R32" s="189">
        <v>25.5</v>
      </c>
      <c r="S32" s="177">
        <f t="shared" si="9"/>
        <v>2.4</v>
      </c>
      <c r="T32" s="160">
        <f t="shared" si="10"/>
        <v>1</v>
      </c>
      <c r="U32" s="160">
        <f t="shared" si="11"/>
        <v>2.4</v>
      </c>
      <c r="V32" s="190">
        <f t="shared" si="12"/>
        <v>106.1208</v>
      </c>
      <c r="W32" s="177">
        <f t="shared" ref="W32:X32" si="20">C32/100</f>
        <v>0.85</v>
      </c>
      <c r="X32" s="177">
        <f t="shared" si="20"/>
        <v>2.04</v>
      </c>
      <c r="Y32" s="177">
        <f t="shared" si="14"/>
        <v>2.4</v>
      </c>
      <c r="Z32" s="191">
        <f t="shared" si="15"/>
        <v>4.1616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63</v>
      </c>
      <c r="C33" s="192">
        <v>104.0</v>
      </c>
      <c r="D33" s="192">
        <v>204.0</v>
      </c>
      <c r="E33" s="192">
        <v>2854.0</v>
      </c>
      <c r="F33" s="192">
        <f t="shared" si="5"/>
        <v>0</v>
      </c>
      <c r="G33" s="192">
        <f t="shared" si="6"/>
        <v>1544.036832</v>
      </c>
      <c r="H33" s="193">
        <f t="shared" si="7"/>
        <v>1544.036832</v>
      </c>
      <c r="I33" s="192">
        <v>1.0</v>
      </c>
      <c r="J33" s="194">
        <f t="shared" si="8"/>
        <v>1544.036832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1530.0</v>
      </c>
      <c r="R33" s="189">
        <v>25.5</v>
      </c>
      <c r="S33" s="177">
        <f t="shared" si="9"/>
        <v>28.54</v>
      </c>
      <c r="T33" s="160">
        <f t="shared" si="10"/>
        <v>1</v>
      </c>
      <c r="U33" s="160">
        <f t="shared" si="11"/>
        <v>28.54</v>
      </c>
      <c r="V33" s="190">
        <f t="shared" si="12"/>
        <v>1544.036832</v>
      </c>
      <c r="W33" s="177">
        <f t="shared" ref="W33:X33" si="21">C33/100</f>
        <v>1.04</v>
      </c>
      <c r="X33" s="177">
        <f t="shared" si="21"/>
        <v>2.04</v>
      </c>
      <c r="Y33" s="177">
        <f t="shared" si="14"/>
        <v>28.54</v>
      </c>
      <c r="Z33" s="191">
        <f t="shared" si="15"/>
        <v>60.550464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63</v>
      </c>
      <c r="C34" s="192">
        <v>104.0</v>
      </c>
      <c r="D34" s="192">
        <v>204.0</v>
      </c>
      <c r="E34" s="192">
        <v>2853.0</v>
      </c>
      <c r="F34" s="192">
        <f t="shared" si="5"/>
        <v>0</v>
      </c>
      <c r="G34" s="192">
        <f t="shared" si="6"/>
        <v>1543.495824</v>
      </c>
      <c r="H34" s="193">
        <f t="shared" si="7"/>
        <v>1543.495824</v>
      </c>
      <c r="I34" s="192">
        <v>1.0</v>
      </c>
      <c r="J34" s="194">
        <f t="shared" si="8"/>
        <v>1543.495824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1525.0</v>
      </c>
      <c r="R34" s="189">
        <v>25.5</v>
      </c>
      <c r="S34" s="177">
        <f t="shared" si="9"/>
        <v>28.53</v>
      </c>
      <c r="T34" s="160">
        <f t="shared" si="10"/>
        <v>1</v>
      </c>
      <c r="U34" s="160">
        <f t="shared" si="11"/>
        <v>28.53</v>
      </c>
      <c r="V34" s="190">
        <f t="shared" si="12"/>
        <v>1543.495824</v>
      </c>
      <c r="W34" s="177">
        <f t="shared" ref="W34:X34" si="22">C34/100</f>
        <v>1.04</v>
      </c>
      <c r="X34" s="177">
        <f t="shared" si="22"/>
        <v>2.04</v>
      </c>
      <c r="Y34" s="177">
        <f t="shared" si="14"/>
        <v>28.53</v>
      </c>
      <c r="Z34" s="191">
        <f t="shared" si="15"/>
        <v>60.529248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63</v>
      </c>
      <c r="C35" s="192">
        <v>104.0</v>
      </c>
      <c r="D35" s="192">
        <v>204.0</v>
      </c>
      <c r="E35" s="192">
        <v>2866.0</v>
      </c>
      <c r="F35" s="192">
        <f t="shared" si="5"/>
        <v>0</v>
      </c>
      <c r="G35" s="192">
        <f t="shared" si="6"/>
        <v>1550.528928</v>
      </c>
      <c r="H35" s="193">
        <f t="shared" si="7"/>
        <v>1550.528928</v>
      </c>
      <c r="I35" s="192">
        <v>1.0</v>
      </c>
      <c r="J35" s="194">
        <f t="shared" si="8"/>
        <v>1550.528928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1535.0</v>
      </c>
      <c r="R35" s="189">
        <v>25.5</v>
      </c>
      <c r="S35" s="177">
        <f t="shared" si="9"/>
        <v>28.66</v>
      </c>
      <c r="T35" s="160">
        <f t="shared" si="10"/>
        <v>1</v>
      </c>
      <c r="U35" s="160">
        <f t="shared" si="11"/>
        <v>28.66</v>
      </c>
      <c r="V35" s="190">
        <f t="shared" si="12"/>
        <v>1550.528928</v>
      </c>
      <c r="W35" s="177">
        <f t="shared" ref="W35:X35" si="23">C35/100</f>
        <v>1.04</v>
      </c>
      <c r="X35" s="177">
        <f t="shared" si="23"/>
        <v>2.04</v>
      </c>
      <c r="Y35" s="177">
        <f t="shared" si="14"/>
        <v>28.66</v>
      </c>
      <c r="Z35" s="191">
        <f t="shared" si="15"/>
        <v>60.805056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63</v>
      </c>
      <c r="C36" s="192">
        <v>104.0</v>
      </c>
      <c r="D36" s="192">
        <v>204.0</v>
      </c>
      <c r="E36" s="192">
        <v>2851.0</v>
      </c>
      <c r="F36" s="192">
        <f t="shared" si="5"/>
        <v>0</v>
      </c>
      <c r="G36" s="192">
        <f t="shared" si="6"/>
        <v>1542.413808</v>
      </c>
      <c r="H36" s="193">
        <f t="shared" si="7"/>
        <v>1542.413808</v>
      </c>
      <c r="I36" s="192">
        <v>1.0</v>
      </c>
      <c r="J36" s="194">
        <f t="shared" si="8"/>
        <v>1542.413808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1526.0</v>
      </c>
      <c r="R36" s="189">
        <v>25.5</v>
      </c>
      <c r="S36" s="177">
        <f t="shared" si="9"/>
        <v>28.51</v>
      </c>
      <c r="T36" s="160">
        <f t="shared" si="10"/>
        <v>1</v>
      </c>
      <c r="U36" s="160">
        <f t="shared" si="11"/>
        <v>28.51</v>
      </c>
      <c r="V36" s="190">
        <f t="shared" si="12"/>
        <v>1542.413808</v>
      </c>
      <c r="W36" s="177">
        <f t="shared" ref="W36:X36" si="24">C36/100</f>
        <v>1.04</v>
      </c>
      <c r="X36" s="177">
        <f t="shared" si="24"/>
        <v>2.04</v>
      </c>
      <c r="Y36" s="177">
        <f t="shared" si="14"/>
        <v>28.51</v>
      </c>
      <c r="Z36" s="191">
        <f t="shared" si="15"/>
        <v>60.486816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82" t="s">
        <v>73</v>
      </c>
      <c r="C37" s="183">
        <v>59.0</v>
      </c>
      <c r="D37" s="183">
        <v>213.0</v>
      </c>
      <c r="E37" s="183">
        <v>186.0</v>
      </c>
      <c r="F37" s="183">
        <f t="shared" si="5"/>
        <v>0</v>
      </c>
      <c r="G37" s="183">
        <f t="shared" si="6"/>
        <v>46.74924</v>
      </c>
      <c r="H37" s="184">
        <f t="shared" si="7"/>
        <v>46.74924</v>
      </c>
      <c r="I37" s="183">
        <v>1.0</v>
      </c>
      <c r="J37" s="185">
        <f t="shared" si="8"/>
        <v>46.74924</v>
      </c>
      <c r="K37" s="186"/>
      <c r="L37" s="187">
        <f t="shared" si="17"/>
        <v>5.4102</v>
      </c>
      <c r="M37" s="188">
        <f t="shared" si="18"/>
        <v>1</v>
      </c>
      <c r="N37" s="188">
        <f t="shared" si="19"/>
        <v>5.4102</v>
      </c>
      <c r="O37" s="186"/>
      <c r="P37" s="186"/>
      <c r="Q37" s="187">
        <v>71.0</v>
      </c>
      <c r="R37" s="189">
        <v>20.0</v>
      </c>
      <c r="S37" s="177">
        <f t="shared" si="9"/>
        <v>1.86</v>
      </c>
      <c r="T37" s="160">
        <f t="shared" si="10"/>
        <v>1</v>
      </c>
      <c r="U37" s="160">
        <f t="shared" si="11"/>
        <v>1.86</v>
      </c>
      <c r="V37" s="190">
        <f t="shared" si="12"/>
        <v>46.74924</v>
      </c>
      <c r="W37" s="177">
        <f t="shared" ref="W37:X37" si="25">C37/100</f>
        <v>0.59</v>
      </c>
      <c r="X37" s="177">
        <f t="shared" si="25"/>
        <v>2.13</v>
      </c>
      <c r="Y37" s="177">
        <f t="shared" si="14"/>
        <v>1.86</v>
      </c>
      <c r="Z37" s="191">
        <f t="shared" si="15"/>
        <v>2.337462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73</v>
      </c>
      <c r="C38" s="192">
        <v>103.0</v>
      </c>
      <c r="D38" s="192">
        <v>213.0</v>
      </c>
      <c r="E38" s="192">
        <v>200.0</v>
      </c>
      <c r="F38" s="192">
        <f t="shared" si="5"/>
        <v>0</v>
      </c>
      <c r="G38" s="192">
        <f t="shared" si="6"/>
        <v>87.756</v>
      </c>
      <c r="H38" s="193">
        <f t="shared" si="7"/>
        <v>87.756</v>
      </c>
      <c r="I38" s="192">
        <v>1.0</v>
      </c>
      <c r="J38" s="194">
        <f t="shared" si="8"/>
        <v>87.756</v>
      </c>
      <c r="K38" s="139"/>
      <c r="L38" s="177">
        <f t="shared" si="17"/>
        <v>5.4102</v>
      </c>
      <c r="M38" s="160">
        <f t="shared" si="18"/>
        <v>1</v>
      </c>
      <c r="N38" s="160">
        <f t="shared" si="19"/>
        <v>5.4102</v>
      </c>
      <c r="O38" s="139"/>
      <c r="P38" s="139"/>
      <c r="Q38" s="177">
        <v>86.0</v>
      </c>
      <c r="R38" s="189">
        <v>20.0</v>
      </c>
      <c r="S38" s="177">
        <f t="shared" si="9"/>
        <v>2</v>
      </c>
      <c r="T38" s="160">
        <f t="shared" si="10"/>
        <v>1</v>
      </c>
      <c r="U38" s="160">
        <f t="shared" si="11"/>
        <v>2</v>
      </c>
      <c r="V38" s="190">
        <f t="shared" si="12"/>
        <v>87.756</v>
      </c>
      <c r="W38" s="177">
        <f t="shared" ref="W38:X38" si="26">C38/100</f>
        <v>1.03</v>
      </c>
      <c r="X38" s="177">
        <f t="shared" si="26"/>
        <v>2.13</v>
      </c>
      <c r="Y38" s="177">
        <f t="shared" si="14"/>
        <v>2</v>
      </c>
      <c r="Z38" s="191">
        <f t="shared" si="15"/>
        <v>4.3878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73</v>
      </c>
      <c r="C39" s="192">
        <v>103.0</v>
      </c>
      <c r="D39" s="192">
        <v>213.0</v>
      </c>
      <c r="E39" s="192">
        <v>200.0</v>
      </c>
      <c r="F39" s="192">
        <f t="shared" si="5"/>
        <v>0</v>
      </c>
      <c r="G39" s="192">
        <f t="shared" si="6"/>
        <v>87.756</v>
      </c>
      <c r="H39" s="193">
        <f t="shared" si="7"/>
        <v>87.756</v>
      </c>
      <c r="I39" s="192">
        <v>1.0</v>
      </c>
      <c r="J39" s="194">
        <f t="shared" si="8"/>
        <v>87.756</v>
      </c>
      <c r="K39" s="139"/>
      <c r="L39" s="177">
        <f t="shared" si="17"/>
        <v>5.4102</v>
      </c>
      <c r="M39" s="160">
        <f t="shared" si="18"/>
        <v>1</v>
      </c>
      <c r="N39" s="160">
        <f t="shared" si="19"/>
        <v>5.4102</v>
      </c>
      <c r="O39" s="139"/>
      <c r="P39" s="139"/>
      <c r="Q39" s="177">
        <v>85.0</v>
      </c>
      <c r="R39" s="189">
        <v>20.0</v>
      </c>
      <c r="S39" s="177">
        <f t="shared" si="9"/>
        <v>2</v>
      </c>
      <c r="T39" s="160">
        <f t="shared" si="10"/>
        <v>1</v>
      </c>
      <c r="U39" s="160">
        <f t="shared" si="11"/>
        <v>2</v>
      </c>
      <c r="V39" s="190">
        <f t="shared" si="12"/>
        <v>87.756</v>
      </c>
      <c r="W39" s="177">
        <f t="shared" ref="W39:X39" si="27">C39/100</f>
        <v>1.03</v>
      </c>
      <c r="X39" s="177">
        <f t="shared" si="27"/>
        <v>2.13</v>
      </c>
      <c r="Y39" s="177">
        <f t="shared" si="14"/>
        <v>2</v>
      </c>
      <c r="Z39" s="191">
        <f t="shared" si="15"/>
        <v>4.3878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73</v>
      </c>
      <c r="C40" s="192">
        <v>104.0</v>
      </c>
      <c r="D40" s="192">
        <v>213.0</v>
      </c>
      <c r="E40" s="192">
        <v>120.0</v>
      </c>
      <c r="F40" s="192">
        <f t="shared" si="5"/>
        <v>0</v>
      </c>
      <c r="G40" s="192">
        <f t="shared" si="6"/>
        <v>53.1648</v>
      </c>
      <c r="H40" s="193">
        <f t="shared" si="7"/>
        <v>53.1648</v>
      </c>
      <c r="I40" s="192">
        <v>1.0</v>
      </c>
      <c r="J40" s="194">
        <f t="shared" si="8"/>
        <v>53.1648</v>
      </c>
      <c r="K40" s="139"/>
      <c r="L40" s="177">
        <f t="shared" si="17"/>
        <v>5.4102</v>
      </c>
      <c r="M40" s="160">
        <f t="shared" si="18"/>
        <v>1</v>
      </c>
      <c r="N40" s="160">
        <f t="shared" si="19"/>
        <v>5.4102</v>
      </c>
      <c r="O40" s="139"/>
      <c r="P40" s="139"/>
      <c r="Q40" s="177">
        <v>80.0</v>
      </c>
      <c r="R40" s="189">
        <v>20.0</v>
      </c>
      <c r="S40" s="177">
        <f t="shared" si="9"/>
        <v>1.2</v>
      </c>
      <c r="T40" s="160">
        <f t="shared" si="10"/>
        <v>1</v>
      </c>
      <c r="U40" s="160">
        <f t="shared" si="11"/>
        <v>1.2</v>
      </c>
      <c r="V40" s="190">
        <f t="shared" si="12"/>
        <v>53.1648</v>
      </c>
      <c r="W40" s="177">
        <f t="shared" ref="W40:X40" si="28">C40/100</f>
        <v>1.04</v>
      </c>
      <c r="X40" s="177">
        <f t="shared" si="28"/>
        <v>2.13</v>
      </c>
      <c r="Y40" s="177">
        <f t="shared" si="14"/>
        <v>1.2</v>
      </c>
      <c r="Z40" s="191">
        <f t="shared" si="15"/>
        <v>2.65824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75</v>
      </c>
      <c r="C41" s="192">
        <v>96.0</v>
      </c>
      <c r="D41" s="192">
        <v>213.0</v>
      </c>
      <c r="E41" s="192">
        <v>95.0</v>
      </c>
      <c r="F41" s="192">
        <f t="shared" si="5"/>
        <v>0</v>
      </c>
      <c r="G41" s="192">
        <f t="shared" si="6"/>
        <v>38.8512</v>
      </c>
      <c r="H41" s="193">
        <f t="shared" si="7"/>
        <v>38.8512</v>
      </c>
      <c r="I41" s="192">
        <v>1.0</v>
      </c>
      <c r="J41" s="194">
        <f t="shared" si="8"/>
        <v>38.8512</v>
      </c>
      <c r="K41" s="139"/>
      <c r="L41" s="177">
        <f t="shared" si="17"/>
        <v>5.4102</v>
      </c>
      <c r="M41" s="160">
        <f t="shared" si="18"/>
        <v>1</v>
      </c>
      <c r="N41" s="160">
        <f t="shared" si="19"/>
        <v>5.4102</v>
      </c>
      <c r="O41" s="139"/>
      <c r="P41" s="139"/>
      <c r="Q41" s="177">
        <v>41.0</v>
      </c>
      <c r="R41" s="189">
        <v>20.0</v>
      </c>
      <c r="S41" s="177">
        <f t="shared" si="9"/>
        <v>0.95</v>
      </c>
      <c r="T41" s="160">
        <f t="shared" si="10"/>
        <v>1</v>
      </c>
      <c r="U41" s="160">
        <f t="shared" si="11"/>
        <v>0.95</v>
      </c>
      <c r="V41" s="190">
        <f t="shared" si="12"/>
        <v>38.8512</v>
      </c>
      <c r="W41" s="177">
        <f t="shared" ref="W41:X41" si="29">C41/100</f>
        <v>0.96</v>
      </c>
      <c r="X41" s="177">
        <f t="shared" si="29"/>
        <v>2.13</v>
      </c>
      <c r="Y41" s="177">
        <f t="shared" si="14"/>
        <v>0.95</v>
      </c>
      <c r="Z41" s="191">
        <f t="shared" si="15"/>
        <v>1.94256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2" t="s">
        <v>73</v>
      </c>
      <c r="C42" s="192">
        <v>105.0</v>
      </c>
      <c r="D42" s="192">
        <v>215.0</v>
      </c>
      <c r="E42" s="192">
        <v>2853.0</v>
      </c>
      <c r="F42" s="192">
        <f t="shared" si="5"/>
        <v>0</v>
      </c>
      <c r="G42" s="192">
        <f t="shared" si="6"/>
        <v>1288.1295</v>
      </c>
      <c r="H42" s="193">
        <f t="shared" si="7"/>
        <v>1288.1295</v>
      </c>
      <c r="I42" s="192">
        <v>1.0</v>
      </c>
      <c r="J42" s="194">
        <f t="shared" si="8"/>
        <v>1288.1295</v>
      </c>
      <c r="K42" s="139"/>
      <c r="L42" s="177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7">
        <v>1225.0</v>
      </c>
      <c r="R42" s="189">
        <v>20.0</v>
      </c>
      <c r="S42" s="177">
        <f t="shared" si="9"/>
        <v>28.53</v>
      </c>
      <c r="T42" s="160">
        <f t="shared" si="10"/>
        <v>1</v>
      </c>
      <c r="U42" s="160">
        <f t="shared" si="11"/>
        <v>28.53</v>
      </c>
      <c r="V42" s="190">
        <f t="shared" si="12"/>
        <v>1288.1295</v>
      </c>
      <c r="W42" s="177">
        <f t="shared" ref="W42:X42" si="30">C42/100</f>
        <v>1.05</v>
      </c>
      <c r="X42" s="177">
        <f t="shared" si="30"/>
        <v>2.15</v>
      </c>
      <c r="Y42" s="177">
        <f t="shared" si="14"/>
        <v>28.53</v>
      </c>
      <c r="Z42" s="191">
        <f t="shared" si="15"/>
        <v>64.406475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73</v>
      </c>
      <c r="C43" s="192">
        <v>106.0</v>
      </c>
      <c r="D43" s="192">
        <v>215.0</v>
      </c>
      <c r="E43" s="192">
        <v>2842.0</v>
      </c>
      <c r="F43" s="192">
        <f t="shared" si="5"/>
        <v>0</v>
      </c>
      <c r="G43" s="192">
        <f t="shared" si="6"/>
        <v>1295.3836</v>
      </c>
      <c r="H43" s="193">
        <f t="shared" si="7"/>
        <v>1295.3836</v>
      </c>
      <c r="I43" s="192">
        <v>1.0</v>
      </c>
      <c r="J43" s="194">
        <f t="shared" si="8"/>
        <v>1295.3836</v>
      </c>
      <c r="K43" s="139"/>
      <c r="L43" s="177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7">
        <v>1240.0</v>
      </c>
      <c r="R43" s="189">
        <v>20.0</v>
      </c>
      <c r="S43" s="177">
        <f t="shared" si="9"/>
        <v>28.42</v>
      </c>
      <c r="T43" s="160">
        <f t="shared" si="10"/>
        <v>1</v>
      </c>
      <c r="U43" s="160">
        <f t="shared" si="11"/>
        <v>28.42</v>
      </c>
      <c r="V43" s="190">
        <f t="shared" si="12"/>
        <v>1295.3836</v>
      </c>
      <c r="W43" s="177">
        <f t="shared" ref="W43:X43" si="31">C43/100</f>
        <v>1.06</v>
      </c>
      <c r="X43" s="177">
        <f t="shared" si="31"/>
        <v>2.15</v>
      </c>
      <c r="Y43" s="177">
        <f t="shared" si="14"/>
        <v>28.42</v>
      </c>
      <c r="Z43" s="191">
        <f t="shared" si="15"/>
        <v>64.76918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73</v>
      </c>
      <c r="C44" s="192">
        <v>106.0</v>
      </c>
      <c r="D44" s="192">
        <v>215.0</v>
      </c>
      <c r="E44" s="192">
        <v>2870.0</v>
      </c>
      <c r="F44" s="192">
        <f t="shared" si="5"/>
        <v>0</v>
      </c>
      <c r="G44" s="192">
        <f t="shared" si="6"/>
        <v>1308.146</v>
      </c>
      <c r="H44" s="193">
        <f t="shared" si="7"/>
        <v>1308.146</v>
      </c>
      <c r="I44" s="192">
        <v>1.0</v>
      </c>
      <c r="J44" s="194">
        <f t="shared" si="8"/>
        <v>1308.146</v>
      </c>
      <c r="K44" s="139"/>
      <c r="L44" s="177">
        <f t="shared" si="17"/>
        <v>5.461</v>
      </c>
      <c r="M44" s="160">
        <f t="shared" si="18"/>
        <v>1</v>
      </c>
      <c r="N44" s="160">
        <f t="shared" si="19"/>
        <v>5.461</v>
      </c>
      <c r="O44" s="139"/>
      <c r="P44" s="139"/>
      <c r="Q44" s="177">
        <v>1220.0</v>
      </c>
      <c r="R44" s="189">
        <v>20.0</v>
      </c>
      <c r="S44" s="177">
        <f t="shared" si="9"/>
        <v>28.7</v>
      </c>
      <c r="T44" s="160">
        <f t="shared" si="10"/>
        <v>1</v>
      </c>
      <c r="U44" s="160">
        <f t="shared" si="11"/>
        <v>28.7</v>
      </c>
      <c r="V44" s="190">
        <f t="shared" si="12"/>
        <v>1308.146</v>
      </c>
      <c r="W44" s="177">
        <f t="shared" ref="W44:X44" si="32">C44/100</f>
        <v>1.06</v>
      </c>
      <c r="X44" s="177">
        <f t="shared" si="32"/>
        <v>2.15</v>
      </c>
      <c r="Y44" s="177">
        <f t="shared" si="14"/>
        <v>28.7</v>
      </c>
      <c r="Z44" s="191">
        <f t="shared" si="15"/>
        <v>65.4073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73</v>
      </c>
      <c r="C45" s="192">
        <v>106.0</v>
      </c>
      <c r="D45" s="192">
        <v>215.0</v>
      </c>
      <c r="E45" s="192">
        <v>2853.0</v>
      </c>
      <c r="F45" s="192">
        <f t="shared" si="5"/>
        <v>0</v>
      </c>
      <c r="G45" s="192">
        <f t="shared" si="6"/>
        <v>1300.3974</v>
      </c>
      <c r="H45" s="193">
        <f t="shared" si="7"/>
        <v>1300.3974</v>
      </c>
      <c r="I45" s="192">
        <v>1.0</v>
      </c>
      <c r="J45" s="194">
        <f t="shared" si="8"/>
        <v>1300.3974</v>
      </c>
      <c r="K45" s="139"/>
      <c r="L45" s="177">
        <f t="shared" si="17"/>
        <v>5.461</v>
      </c>
      <c r="M45" s="160">
        <f t="shared" si="18"/>
        <v>1</v>
      </c>
      <c r="N45" s="160">
        <f t="shared" si="19"/>
        <v>5.461</v>
      </c>
      <c r="O45" s="139"/>
      <c r="P45" s="139"/>
      <c r="Q45" s="177">
        <v>1215.0</v>
      </c>
      <c r="R45" s="189">
        <v>20.0</v>
      </c>
      <c r="S45" s="177">
        <f t="shared" si="9"/>
        <v>28.53</v>
      </c>
      <c r="T45" s="160">
        <f t="shared" si="10"/>
        <v>1</v>
      </c>
      <c r="U45" s="160">
        <f t="shared" si="11"/>
        <v>28.53</v>
      </c>
      <c r="V45" s="190">
        <f t="shared" si="12"/>
        <v>1300.3974</v>
      </c>
      <c r="W45" s="177">
        <f t="shared" ref="W45:X45" si="33">C45/100</f>
        <v>1.06</v>
      </c>
      <c r="X45" s="177">
        <f t="shared" si="33"/>
        <v>2.15</v>
      </c>
      <c r="Y45" s="177">
        <f t="shared" si="14"/>
        <v>28.53</v>
      </c>
      <c r="Z45" s="191">
        <f t="shared" si="15"/>
        <v>65.01987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51.0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/>
      <c r="N46" s="196"/>
      <c r="O46" s="139"/>
      <c r="P46" s="139"/>
      <c r="Q46" s="177"/>
      <c r="R46" s="141"/>
      <c r="S46" s="177">
        <f t="shared" si="9"/>
        <v>0</v>
      </c>
      <c r="T46" s="160" t="str">
        <f t="shared" si="10"/>
        <v/>
      </c>
      <c r="U46" s="160">
        <f t="shared" si="11"/>
        <v>0</v>
      </c>
      <c r="V46" s="190">
        <f t="shared" si="12"/>
        <v>0</v>
      </c>
      <c r="W46" s="177">
        <f t="shared" ref="W46:X46" si="34">C46/100</f>
        <v>0</v>
      </c>
      <c r="X46" s="177">
        <f t="shared" si="34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52.0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53.0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54.0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55.0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56.0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57.0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0">C52/100</f>
        <v>0</v>
      </c>
      <c r="X52" s="177">
        <f t="shared" si="40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58.0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59.0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60.0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77">
        <f t="shared" ref="L55:L56" si="44">D55*25.4/1000</f>
        <v>0</v>
      </c>
      <c r="M55" s="160" t="str">
        <f t="shared" ref="M55:M70" si="45">+I55</f>
        <v/>
      </c>
      <c r="N55" s="160">
        <f t="shared" ref="N55:N56" si="46">M55*L55</f>
        <v>0</v>
      </c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>
        <f t="shared" si="44"/>
        <v>0</v>
      </c>
      <c r="M56" s="196" t="str">
        <f t="shared" si="45"/>
        <v/>
      </c>
      <c r="N56" s="196">
        <f t="shared" si="46"/>
        <v>0</v>
      </c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7">C56/100</f>
        <v>0</v>
      </c>
      <c r="X56" s="177">
        <f t="shared" si="47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45"/>
        <v/>
      </c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5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5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5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5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5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5"/>
        <v/>
      </c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5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5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5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5"/>
        <v/>
      </c>
      <c r="N67" s="196"/>
      <c r="O67" s="139"/>
      <c r="P67" s="139"/>
      <c r="Q67" s="177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199">
        <f t="shared" si="12"/>
        <v>0</v>
      </c>
      <c r="W67" s="197">
        <f t="shared" ref="W67:X67" si="58">C67/100</f>
        <v>0</v>
      </c>
      <c r="X67" s="197">
        <f t="shared" si="58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5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5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5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160"/>
      <c r="B213" s="177"/>
      <c r="C213" s="177"/>
      <c r="D213" s="177"/>
      <c r="E213" s="177"/>
      <c r="F213" s="177"/>
      <c r="G213" s="177"/>
      <c r="H213" s="180"/>
      <c r="I213" s="160"/>
      <c r="J213" s="202">
        <f>+Q272</f>
        <v>45.6</v>
      </c>
      <c r="K213" s="139"/>
      <c r="L213" s="139"/>
      <c r="M213" s="139"/>
      <c r="N213" s="139"/>
      <c r="O213" s="139"/>
      <c r="P213" s="139"/>
      <c r="Q213" s="139"/>
      <c r="R213" s="203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204"/>
      <c r="C214" s="204"/>
      <c r="D214" s="204"/>
      <c r="E214" s="204"/>
      <c r="F214" s="204"/>
      <c r="G214" s="204"/>
      <c r="H214" s="205"/>
      <c r="I214" s="206">
        <f>SUM(I29:I212)</f>
        <v>17</v>
      </c>
      <c r="J214" s="207">
        <f>SUM(J29:J213)</f>
        <v>12083.80943</v>
      </c>
      <c r="K214" s="208"/>
      <c r="L214" s="208"/>
      <c r="M214" s="208"/>
      <c r="N214" s="208"/>
      <c r="O214" s="208"/>
      <c r="P214" s="208"/>
      <c r="Q214" s="208"/>
      <c r="R214" s="141"/>
      <c r="S214" s="208">
        <f>SUMIFS($T$29:$T$212,$S$29:$S$212,"&gt;=3")</f>
        <v>8</v>
      </c>
      <c r="T214" s="208">
        <f t="shared" ref="T214:U214" si="205">SUM(T29:T212)</f>
        <v>17</v>
      </c>
      <c r="U214" s="208">
        <f t="shared" si="205"/>
        <v>243.71</v>
      </c>
      <c r="V214" s="208"/>
      <c r="W214" s="208"/>
      <c r="X214" s="208"/>
      <c r="Y214" s="208"/>
      <c r="Z214" s="209">
        <f>SUM(Z29:Z213)</f>
        <v>531.468675</v>
      </c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208"/>
      <c r="AP214" s="208"/>
      <c r="AQ214" s="208"/>
      <c r="AR214" s="208"/>
      <c r="AS214" s="208"/>
      <c r="AT214" s="208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01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03"/>
      <c r="S216" s="139"/>
      <c r="T216" s="139" t="s">
        <v>48</v>
      </c>
      <c r="U216" s="139" t="s">
        <v>59</v>
      </c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 t="s">
        <v>31</v>
      </c>
      <c r="T217" s="210">
        <f>SUMIFS($J$29:$J$212,$S$29:$S$212,"&gt;=3")</f>
        <v>11372.53189</v>
      </c>
      <c r="U217" s="211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 t="s">
        <v>32</v>
      </c>
      <c r="B218" s="139"/>
      <c r="C218" s="139"/>
      <c r="D218" s="139" t="s">
        <v>33</v>
      </c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34</v>
      </c>
      <c r="T218" s="212">
        <f>J214-T217</f>
        <v>711.277542</v>
      </c>
      <c r="U218" s="211">
        <f>+SUMIFS($U$29:$U$212,$S$29:$S$212,"&gt;=3")</f>
        <v>228.42</v>
      </c>
      <c r="V218" s="139"/>
      <c r="W218" s="139"/>
      <c r="X218" s="139"/>
      <c r="Y218" s="267">
        <f>+SUM(J30:J36)</f>
        <v>6452.675244</v>
      </c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03"/>
      <c r="S219" s="139"/>
      <c r="T219" s="213">
        <f>+I214</f>
        <v>17</v>
      </c>
      <c r="U219" s="139"/>
      <c r="V219" s="139"/>
      <c r="W219" s="139"/>
      <c r="X219" s="139"/>
      <c r="Y219" s="267">
        <f>+SUM(J38:J45)</f>
        <v>5459.5845</v>
      </c>
      <c r="Z219" s="268">
        <f>+Y218+Y219</f>
        <v>11912.25974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39.0" customHeight="1">
      <c r="A220" s="177"/>
      <c r="B220" s="160" t="s">
        <v>12</v>
      </c>
      <c r="C220" s="178" t="s">
        <v>60</v>
      </c>
      <c r="D220" s="52"/>
      <c r="E220" s="53"/>
      <c r="F220" s="179"/>
      <c r="G220" s="179"/>
      <c r="H220" s="180" t="s">
        <v>14</v>
      </c>
      <c r="I220" s="160" t="s">
        <v>15</v>
      </c>
      <c r="J220" s="160" t="s">
        <v>16</v>
      </c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4">
        <v>1.0</v>
      </c>
      <c r="B221" s="214"/>
      <c r="C221" s="214"/>
      <c r="D221" s="214"/>
      <c r="E221" s="214"/>
      <c r="F221" s="214">
        <f t="shared" ref="F221:F234" si="206">1-VALUE(IF(RIGHT(B221, 1)="%", RIGHT(B221, 3), 0))</f>
        <v>1</v>
      </c>
      <c r="G221" s="214">
        <f t="shared" ref="G221:G234" si="207">+Q221*C221/100*D221/100*E221/100</f>
        <v>0</v>
      </c>
      <c r="H221" s="215">
        <f t="shared" ref="H221:H234" si="208">IF(F221=0, G221, F221*G221)</f>
        <v>0</v>
      </c>
      <c r="I221" s="214"/>
      <c r="J221" s="216"/>
      <c r="K221" s="139"/>
      <c r="L221" s="177">
        <f t="shared" ref="L221:L229" si="209">D221*25.4/1000</f>
        <v>0</v>
      </c>
      <c r="M221" s="160" t="str">
        <f t="shared" ref="M221:M225" si="210">+I221</f>
        <v/>
      </c>
      <c r="N221" s="160">
        <f t="shared" ref="N221:N225" si="211">M221*L221</f>
        <v>0</v>
      </c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2.0</v>
      </c>
      <c r="B222" s="214"/>
      <c r="C222" s="214"/>
      <c r="D222" s="214"/>
      <c r="E222" s="214"/>
      <c r="F222" s="214">
        <f t="shared" si="206"/>
        <v>1</v>
      </c>
      <c r="G222" s="214">
        <f t="shared" si="207"/>
        <v>0</v>
      </c>
      <c r="H222" s="215">
        <f t="shared" si="208"/>
        <v>0</v>
      </c>
      <c r="I222" s="214"/>
      <c r="J222" s="216">
        <f t="shared" ref="J222:J234" si="212">+I222*H222</f>
        <v>0</v>
      </c>
      <c r="K222" s="139"/>
      <c r="L222" s="177">
        <f t="shared" si="209"/>
        <v>0</v>
      </c>
      <c r="M222" s="160" t="str">
        <f t="shared" si="210"/>
        <v/>
      </c>
      <c r="N222" s="160">
        <f t="shared" si="211"/>
        <v>0</v>
      </c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3.0</v>
      </c>
      <c r="B223" s="217"/>
      <c r="C223" s="217"/>
      <c r="D223" s="217"/>
      <c r="E223" s="217"/>
      <c r="F223" s="217">
        <f t="shared" si="206"/>
        <v>1</v>
      </c>
      <c r="G223" s="217">
        <f t="shared" si="207"/>
        <v>0</v>
      </c>
      <c r="H223" s="218">
        <f t="shared" si="208"/>
        <v>0</v>
      </c>
      <c r="I223" s="217"/>
      <c r="J223" s="194">
        <f t="shared" si="212"/>
        <v>0</v>
      </c>
      <c r="K223" s="139"/>
      <c r="L223" s="177">
        <f t="shared" si="209"/>
        <v>0</v>
      </c>
      <c r="M223" s="160" t="str">
        <f t="shared" si="210"/>
        <v/>
      </c>
      <c r="N223" s="160">
        <f t="shared" si="211"/>
        <v>0</v>
      </c>
      <c r="O223" s="139"/>
      <c r="P223" s="139"/>
      <c r="Q223" s="139"/>
      <c r="R223" s="139"/>
      <c r="S223" s="21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4.0</v>
      </c>
      <c r="B224" s="217"/>
      <c r="C224" s="217"/>
      <c r="D224" s="217"/>
      <c r="E224" s="217"/>
      <c r="F224" s="217">
        <f t="shared" si="206"/>
        <v>1</v>
      </c>
      <c r="G224" s="217">
        <f t="shared" si="207"/>
        <v>0</v>
      </c>
      <c r="H224" s="218">
        <f t="shared" si="208"/>
        <v>0</v>
      </c>
      <c r="I224" s="217"/>
      <c r="J224" s="194">
        <f t="shared" si="212"/>
        <v>0</v>
      </c>
      <c r="K224" s="139"/>
      <c r="L224" s="177">
        <f t="shared" si="209"/>
        <v>0</v>
      </c>
      <c r="M224" s="160" t="str">
        <f t="shared" si="210"/>
        <v/>
      </c>
      <c r="N224" s="160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5.0</v>
      </c>
      <c r="B225" s="217"/>
      <c r="C225" s="217"/>
      <c r="D225" s="217"/>
      <c r="E225" s="217"/>
      <c r="F225" s="217">
        <f t="shared" si="206"/>
        <v>1</v>
      </c>
      <c r="G225" s="217">
        <f t="shared" si="207"/>
        <v>0</v>
      </c>
      <c r="H225" s="218">
        <f t="shared" si="208"/>
        <v>0</v>
      </c>
      <c r="I225" s="217"/>
      <c r="J225" s="194">
        <f t="shared" si="212"/>
        <v>0</v>
      </c>
      <c r="K225" s="139"/>
      <c r="L225" s="177">
        <f t="shared" si="209"/>
        <v>0</v>
      </c>
      <c r="M225" s="160" t="str">
        <f t="shared" si="210"/>
        <v/>
      </c>
      <c r="N225" s="160">
        <f t="shared" si="211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6.0</v>
      </c>
      <c r="B226" s="217"/>
      <c r="C226" s="217"/>
      <c r="D226" s="217"/>
      <c r="E226" s="217"/>
      <c r="F226" s="217">
        <f t="shared" si="206"/>
        <v>1</v>
      </c>
      <c r="G226" s="217">
        <f t="shared" si="207"/>
        <v>0</v>
      </c>
      <c r="H226" s="218">
        <f t="shared" si="208"/>
        <v>0</v>
      </c>
      <c r="I226" s="217"/>
      <c r="J226" s="194">
        <f t="shared" si="212"/>
        <v>0</v>
      </c>
      <c r="K226" s="139"/>
      <c r="L226" s="139">
        <f t="shared" si="209"/>
        <v>0</v>
      </c>
      <c r="M226" s="220"/>
      <c r="N226" s="22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7.0</v>
      </c>
      <c r="B227" s="217"/>
      <c r="C227" s="217"/>
      <c r="D227" s="217"/>
      <c r="E227" s="217"/>
      <c r="F227" s="217">
        <f t="shared" si="206"/>
        <v>1</v>
      </c>
      <c r="G227" s="217">
        <f t="shared" si="207"/>
        <v>0</v>
      </c>
      <c r="H227" s="218">
        <f t="shared" si="208"/>
        <v>0</v>
      </c>
      <c r="I227" s="217"/>
      <c r="J227" s="194">
        <f t="shared" si="212"/>
        <v>0</v>
      </c>
      <c r="K227" s="139"/>
      <c r="L227" s="139">
        <f t="shared" si="209"/>
        <v>0</v>
      </c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8.0</v>
      </c>
      <c r="B228" s="217"/>
      <c r="C228" s="217"/>
      <c r="D228" s="217"/>
      <c r="E228" s="217"/>
      <c r="F228" s="217">
        <f t="shared" si="206"/>
        <v>1</v>
      </c>
      <c r="G228" s="217">
        <f t="shared" si="207"/>
        <v>0</v>
      </c>
      <c r="H228" s="218">
        <f t="shared" si="208"/>
        <v>0</v>
      </c>
      <c r="I228" s="217"/>
      <c r="J228" s="194">
        <f t="shared" si="212"/>
        <v>0</v>
      </c>
      <c r="K228" s="139"/>
      <c r="L228" s="139">
        <f t="shared" si="209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9.0</v>
      </c>
      <c r="B229" s="217"/>
      <c r="C229" s="217"/>
      <c r="D229" s="217"/>
      <c r="E229" s="217"/>
      <c r="F229" s="217">
        <f t="shared" si="206"/>
        <v>1</v>
      </c>
      <c r="G229" s="217">
        <f t="shared" si="207"/>
        <v>0</v>
      </c>
      <c r="H229" s="218">
        <f t="shared" si="208"/>
        <v>0</v>
      </c>
      <c r="I229" s="217"/>
      <c r="J229" s="194">
        <f t="shared" si="212"/>
        <v>0</v>
      </c>
      <c r="K229" s="139"/>
      <c r="L229" s="139">
        <f t="shared" si="209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10.0</v>
      </c>
      <c r="B230" s="192"/>
      <c r="C230" s="192"/>
      <c r="D230" s="192"/>
      <c r="E230" s="192"/>
      <c r="F230" s="192">
        <f t="shared" si="206"/>
        <v>1</v>
      </c>
      <c r="G230" s="192">
        <f t="shared" si="207"/>
        <v>0</v>
      </c>
      <c r="H230" s="193">
        <f t="shared" si="208"/>
        <v>0</v>
      </c>
      <c r="I230" s="192"/>
      <c r="J230" s="194">
        <f t="shared" si="212"/>
        <v>0</v>
      </c>
      <c r="K230" s="139"/>
      <c r="L230" s="139"/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11.0</v>
      </c>
      <c r="B231" s="192"/>
      <c r="C231" s="192"/>
      <c r="D231" s="192"/>
      <c r="E231" s="192"/>
      <c r="F231" s="192">
        <f t="shared" si="206"/>
        <v>1</v>
      </c>
      <c r="G231" s="192">
        <f t="shared" si="207"/>
        <v>0</v>
      </c>
      <c r="H231" s="193">
        <f t="shared" si="208"/>
        <v>0</v>
      </c>
      <c r="I231" s="192"/>
      <c r="J231" s="194">
        <f t="shared" si="212"/>
        <v>0</v>
      </c>
      <c r="K231" s="139"/>
      <c r="L231" s="139"/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12.0</v>
      </c>
      <c r="B232" s="192"/>
      <c r="C232" s="192"/>
      <c r="D232" s="192"/>
      <c r="E232" s="192"/>
      <c r="F232" s="192">
        <f t="shared" si="206"/>
        <v>1</v>
      </c>
      <c r="G232" s="192">
        <f t="shared" si="207"/>
        <v>0</v>
      </c>
      <c r="H232" s="193">
        <f t="shared" si="208"/>
        <v>0</v>
      </c>
      <c r="I232" s="192"/>
      <c r="J232" s="194">
        <f t="shared" si="212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13.0</v>
      </c>
      <c r="B233" s="192"/>
      <c r="C233" s="192"/>
      <c r="D233" s="192"/>
      <c r="E233" s="192"/>
      <c r="F233" s="192">
        <f t="shared" si="206"/>
        <v>1</v>
      </c>
      <c r="G233" s="192">
        <f t="shared" si="207"/>
        <v>0</v>
      </c>
      <c r="H233" s="193">
        <f t="shared" si="208"/>
        <v>0</v>
      </c>
      <c r="I233" s="192"/>
      <c r="J233" s="194">
        <f t="shared" si="212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14.0</v>
      </c>
      <c r="B234" s="192"/>
      <c r="C234" s="192"/>
      <c r="D234" s="192"/>
      <c r="E234" s="192"/>
      <c r="F234" s="192">
        <f t="shared" si="206"/>
        <v>1</v>
      </c>
      <c r="G234" s="192">
        <f t="shared" si="207"/>
        <v>0</v>
      </c>
      <c r="H234" s="193">
        <f t="shared" si="208"/>
        <v>0</v>
      </c>
      <c r="I234" s="192"/>
      <c r="J234" s="194">
        <f t="shared" si="212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/>
      <c r="B235" s="195"/>
      <c r="C235" s="195"/>
      <c r="D235" s="195"/>
      <c r="E235" s="195"/>
      <c r="F235" s="195"/>
      <c r="G235" s="195"/>
      <c r="H235" s="221" t="s">
        <v>38</v>
      </c>
      <c r="I235" s="195"/>
      <c r="J235" s="222">
        <f>SUM(J221:J234)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4"/>
      <c r="B236" s="144"/>
      <c r="C236" s="144"/>
      <c r="D236" s="144"/>
      <c r="E236" s="144"/>
      <c r="F236" s="144"/>
      <c r="G236" s="144"/>
      <c r="H236" s="145"/>
      <c r="I236" s="144"/>
      <c r="J236" s="175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3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3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7"/>
      <c r="B241" s="160" t="s">
        <v>12</v>
      </c>
      <c r="C241" s="178" t="s">
        <v>61</v>
      </c>
      <c r="D241" s="52"/>
      <c r="E241" s="53"/>
      <c r="F241" s="224"/>
      <c r="G241" s="224"/>
      <c r="H241" s="180" t="s">
        <v>14</v>
      </c>
      <c r="I241" s="225" t="s">
        <v>15</v>
      </c>
      <c r="J241" s="160" t="s">
        <v>16</v>
      </c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>
        <v>1.0</v>
      </c>
      <c r="B242" s="182" t="s">
        <v>63</v>
      </c>
      <c r="C242" s="198"/>
      <c r="D242" s="198"/>
      <c r="E242" s="198"/>
      <c r="F242" s="198"/>
      <c r="G242" s="198"/>
      <c r="H242" s="226">
        <v>33.0</v>
      </c>
      <c r="I242" s="198">
        <v>1.0</v>
      </c>
      <c r="J242" s="194">
        <f t="shared" ref="J242:J270" si="213">+I242*H242</f>
        <v>33</v>
      </c>
      <c r="K242" s="177"/>
      <c r="L242" s="177"/>
      <c r="M242" s="177"/>
      <c r="N242" s="177"/>
      <c r="O242" s="177"/>
      <c r="P242" s="177"/>
      <c r="Q242" s="227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0">
        <v>2.0</v>
      </c>
      <c r="B243" s="192" t="s">
        <v>63</v>
      </c>
      <c r="C243" s="198"/>
      <c r="D243" s="198"/>
      <c r="E243" s="198"/>
      <c r="F243" s="198"/>
      <c r="G243" s="198"/>
      <c r="H243" s="226">
        <v>24.0</v>
      </c>
      <c r="I243" s="198">
        <v>1.0</v>
      </c>
      <c r="J243" s="194">
        <f t="shared" si="213"/>
        <v>24</v>
      </c>
      <c r="K243" s="177"/>
      <c r="L243" s="177"/>
      <c r="M243" s="177"/>
      <c r="N243" s="177"/>
      <c r="O243" s="177"/>
      <c r="P243" s="177"/>
      <c r="Q243" s="227"/>
      <c r="R243" s="223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3.0</v>
      </c>
      <c r="B244" s="182" t="s">
        <v>73</v>
      </c>
      <c r="C244" s="198"/>
      <c r="D244" s="198"/>
      <c r="E244" s="198"/>
      <c r="F244" s="198"/>
      <c r="G244" s="198"/>
      <c r="H244" s="226">
        <v>30.0</v>
      </c>
      <c r="I244" s="198">
        <v>1.0</v>
      </c>
      <c r="J244" s="194">
        <f t="shared" si="213"/>
        <v>30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4.0</v>
      </c>
      <c r="B245" s="192" t="s">
        <v>73</v>
      </c>
      <c r="C245" s="198"/>
      <c r="D245" s="198"/>
      <c r="E245" s="198"/>
      <c r="F245" s="198"/>
      <c r="G245" s="198"/>
      <c r="H245" s="226">
        <v>27.0</v>
      </c>
      <c r="I245" s="198">
        <v>1.0</v>
      </c>
      <c r="J245" s="194">
        <f t="shared" si="213"/>
        <v>27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11.0</v>
      </c>
      <c r="B246" s="228"/>
      <c r="C246" s="198"/>
      <c r="D246" s="198"/>
      <c r="E246" s="198"/>
      <c r="F246" s="198"/>
      <c r="G246" s="198"/>
      <c r="H246" s="226"/>
      <c r="I246" s="198"/>
      <c r="J246" s="194">
        <f t="shared" si="213"/>
        <v>0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12.0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13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13.0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13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14.0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13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15.0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16.0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17.0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18.0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19.0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7"/>
      <c r="R254" s="140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20.0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21.0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22.0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23.0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24.0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25.0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26.0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27.0</v>
      </c>
      <c r="B262" s="228"/>
      <c r="C262" s="198"/>
      <c r="D262" s="198"/>
      <c r="E262" s="198"/>
      <c r="F262" s="198"/>
      <c r="G262" s="198"/>
      <c r="H262" s="198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28.0</v>
      </c>
      <c r="B263" s="228"/>
      <c r="C263" s="198"/>
      <c r="D263" s="198"/>
      <c r="E263" s="198"/>
      <c r="F263" s="198"/>
      <c r="G263" s="198"/>
      <c r="H263" s="198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29.0</v>
      </c>
      <c r="B264" s="229"/>
      <c r="C264" s="198"/>
      <c r="D264" s="198"/>
      <c r="E264" s="198"/>
      <c r="F264" s="198"/>
      <c r="G264" s="198"/>
      <c r="H264" s="198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30.0</v>
      </c>
      <c r="B265" s="229"/>
      <c r="C265" s="198"/>
      <c r="D265" s="198"/>
      <c r="E265" s="198"/>
      <c r="F265" s="198"/>
      <c r="G265" s="198"/>
      <c r="H265" s="226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31.0</v>
      </c>
      <c r="B266" s="217"/>
      <c r="C266" s="198"/>
      <c r="D266" s="198"/>
      <c r="E266" s="198"/>
      <c r="F266" s="198"/>
      <c r="G266" s="198"/>
      <c r="H266" s="226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32.0</v>
      </c>
      <c r="B267" s="217"/>
      <c r="C267" s="160"/>
      <c r="D267" s="160"/>
      <c r="E267" s="160"/>
      <c r="F267" s="160"/>
      <c r="G267" s="160"/>
      <c r="H267" s="160"/>
      <c r="I267" s="160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33.0</v>
      </c>
      <c r="B268" s="229"/>
      <c r="C268" s="160"/>
      <c r="D268" s="160"/>
      <c r="E268" s="160"/>
      <c r="F268" s="160"/>
      <c r="G268" s="160"/>
      <c r="H268" s="160"/>
      <c r="I268" s="160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34.0</v>
      </c>
      <c r="B269" s="230"/>
      <c r="C269" s="160"/>
      <c r="D269" s="160"/>
      <c r="E269" s="160"/>
      <c r="F269" s="160"/>
      <c r="G269" s="160"/>
      <c r="H269" s="160"/>
      <c r="I269" s="160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35.0</v>
      </c>
      <c r="B270" s="231"/>
      <c r="C270" s="160"/>
      <c r="D270" s="160"/>
      <c r="E270" s="160"/>
      <c r="F270" s="160"/>
      <c r="G270" s="160"/>
      <c r="H270" s="160"/>
      <c r="I270" s="160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 t="s">
        <v>38</v>
      </c>
      <c r="I271" s="139"/>
      <c r="J271" s="232">
        <f>SUM(J242:J270)</f>
        <v>114</v>
      </c>
      <c r="K271" s="233"/>
      <c r="L271" s="233"/>
      <c r="M271" s="233"/>
      <c r="N271" s="233"/>
      <c r="O271" s="233"/>
      <c r="P271" s="233"/>
      <c r="Q271" s="233"/>
      <c r="R271" s="139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44"/>
      <c r="B272" s="144"/>
      <c r="C272" s="144"/>
      <c r="D272" s="144"/>
      <c r="E272" s="144"/>
      <c r="F272" s="144"/>
      <c r="G272" s="144"/>
      <c r="H272" s="145"/>
      <c r="I272" s="173"/>
      <c r="J272" s="204">
        <f>+J271*60%</f>
        <v>68.4</v>
      </c>
      <c r="K272" s="204"/>
      <c r="L272" s="204"/>
      <c r="M272" s="204"/>
      <c r="N272" s="204"/>
      <c r="O272" s="204"/>
      <c r="P272" s="204"/>
      <c r="Q272" s="204">
        <f>+J271*40%</f>
        <v>45.6</v>
      </c>
      <c r="R272" s="139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234" t="s">
        <v>41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57.0" customHeight="1">
      <c r="A276" s="235"/>
      <c r="B276" s="236" t="s">
        <v>42</v>
      </c>
      <c r="C276" s="236" t="s">
        <v>43</v>
      </c>
      <c r="D276" s="236" t="s">
        <v>44</v>
      </c>
      <c r="E276" s="236" t="s">
        <v>45</v>
      </c>
      <c r="F276" s="236"/>
      <c r="G276" s="236"/>
      <c r="H276" s="237" t="s">
        <v>46</v>
      </c>
      <c r="I276" s="238" t="s">
        <v>47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3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39" t="s">
        <v>48</v>
      </c>
      <c r="B277" s="240">
        <f>+E22</f>
        <v>13063.4451</v>
      </c>
      <c r="C277" s="241">
        <f>+J214</f>
        <v>12083.80943</v>
      </c>
      <c r="D277" s="241">
        <f>+J235</f>
        <v>0</v>
      </c>
      <c r="E277" s="242">
        <f>J272</f>
        <v>68.4</v>
      </c>
      <c r="F277" s="242"/>
      <c r="G277" s="242"/>
      <c r="H277" s="243">
        <f>+I22</f>
        <v>946.1549161</v>
      </c>
      <c r="I277" s="244">
        <f>+B277-C277-D277-E277-H277</f>
        <v>-34.91925009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9.5" customHeight="1">
      <c r="A278" s="245" t="s">
        <v>49</v>
      </c>
      <c r="B278" s="246"/>
      <c r="C278" s="247">
        <f>+C277/B277</f>
        <v>0.9250093939</v>
      </c>
      <c r="D278" s="247">
        <f>+D277/B277</f>
        <v>0</v>
      </c>
      <c r="E278" s="247">
        <f>+E277/B277</f>
        <v>0.005235984802</v>
      </c>
      <c r="F278" s="247"/>
      <c r="G278" s="247"/>
      <c r="H278" s="248">
        <f>+H277/B277</f>
        <v>0.07242767194</v>
      </c>
      <c r="I278" s="249">
        <f>+I277/B277</f>
        <v>-0.002673050625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163"/>
      <c r="B279" s="220"/>
      <c r="C279" s="250"/>
      <c r="D279" s="250"/>
      <c r="E279" s="250"/>
      <c r="F279" s="250"/>
      <c r="G279" s="250"/>
      <c r="H279" s="251"/>
      <c r="I279" s="252"/>
      <c r="J279" s="139"/>
      <c r="K279" s="139"/>
      <c r="L279" s="139"/>
      <c r="M279" s="139"/>
      <c r="N279" s="139"/>
      <c r="O279" s="139"/>
      <c r="P279" s="139"/>
      <c r="Q279" s="139"/>
      <c r="R279" s="141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3"/>
      <c r="B280" s="254"/>
      <c r="C280" s="254"/>
      <c r="D280" s="254" t="s">
        <v>50</v>
      </c>
      <c r="E280" s="254" t="s">
        <v>48</v>
      </c>
      <c r="F280" s="254"/>
      <c r="G280" s="254"/>
      <c r="H280" s="255">
        <f>+D277+E277+H277+I277</f>
        <v>979.635666</v>
      </c>
      <c r="I280" s="256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7"/>
      <c r="B281" s="139"/>
      <c r="C281" s="139"/>
      <c r="D281" s="139"/>
      <c r="E281" s="139" t="s">
        <v>49</v>
      </c>
      <c r="F281" s="139"/>
      <c r="G281" s="139"/>
      <c r="H281" s="251">
        <f>+H280/B277</f>
        <v>0.07499060612</v>
      </c>
      <c r="I281" s="258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7"/>
      <c r="B282" s="139"/>
      <c r="C282" s="139" t="s">
        <v>51</v>
      </c>
      <c r="D282" s="139"/>
      <c r="E282" s="139"/>
      <c r="F282" s="139"/>
      <c r="G282" s="139"/>
      <c r="H282" s="140"/>
      <c r="I282" s="258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7"/>
      <c r="B283" s="139"/>
      <c r="C283" s="139"/>
      <c r="D283" s="139" t="s">
        <v>52</v>
      </c>
      <c r="E283" s="139"/>
      <c r="F283" s="139"/>
      <c r="G283" s="139"/>
      <c r="H283" s="140">
        <f>+H282*(H280-H277)</f>
        <v>0</v>
      </c>
      <c r="I283" s="258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59"/>
      <c r="B284" s="260"/>
      <c r="C284" s="260"/>
      <c r="D284" s="260"/>
      <c r="E284" s="260"/>
      <c r="F284" s="260"/>
      <c r="G284" s="260"/>
      <c r="H284" s="261"/>
      <c r="I284" s="262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0:E220"/>
    <mergeCell ref="C241:E24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77</v>
      </c>
      <c r="C8" s="154">
        <v>28.5</v>
      </c>
      <c r="D8" s="155">
        <v>0.0607</v>
      </c>
      <c r="E8" s="156">
        <f>239.296*34.8</f>
        <v>8327.5008</v>
      </c>
      <c r="F8" s="156"/>
      <c r="G8" s="156"/>
      <c r="H8" s="157">
        <v>34.8</v>
      </c>
      <c r="I8" s="158">
        <f t="shared" ref="I8:I13" si="1">+D8*E8</f>
        <v>505.4792986</v>
      </c>
      <c r="J8" s="159">
        <f t="shared" ref="J8:J13" si="2">E8-I8</f>
        <v>7822.021501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66</v>
      </c>
      <c r="C9" s="154">
        <v>25.5</v>
      </c>
      <c r="D9" s="155">
        <v>0.0751</v>
      </c>
      <c r="E9" s="156">
        <f>241.278*12.9</f>
        <v>3112.4862</v>
      </c>
      <c r="F9" s="156"/>
      <c r="G9" s="156"/>
      <c r="H9" s="157">
        <v>12.9</v>
      </c>
      <c r="I9" s="158">
        <f t="shared" si="1"/>
        <v>233.7477136</v>
      </c>
      <c r="J9" s="159">
        <f t="shared" si="2"/>
        <v>2878.738486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67</v>
      </c>
      <c r="C10" s="154">
        <v>50.5</v>
      </c>
      <c r="D10" s="155">
        <v>0.0221</v>
      </c>
      <c r="E10" s="156">
        <f>255.889*1.2</f>
        <v>307.0668</v>
      </c>
      <c r="F10" s="156"/>
      <c r="G10" s="156"/>
      <c r="H10" s="157">
        <v>1.2</v>
      </c>
      <c r="I10" s="158">
        <f t="shared" si="1"/>
        <v>6.78617628</v>
      </c>
      <c r="J10" s="159">
        <f t="shared" si="2"/>
        <v>300.2806237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78</v>
      </c>
      <c r="C11" s="154">
        <v>40.5</v>
      </c>
      <c r="D11" s="161">
        <v>0.0395</v>
      </c>
      <c r="E11" s="162">
        <f>258.282*1</f>
        <v>258.282</v>
      </c>
      <c r="F11" s="162"/>
      <c r="G11" s="162"/>
      <c r="H11" s="157">
        <v>1.0</v>
      </c>
      <c r="I11" s="158">
        <f t="shared" si="1"/>
        <v>10.202139</v>
      </c>
      <c r="J11" s="159">
        <f t="shared" si="2"/>
        <v>248.079861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70</v>
      </c>
      <c r="C12" s="160">
        <v>18.5</v>
      </c>
      <c r="D12" s="161">
        <v>0.1172</v>
      </c>
      <c r="E12" s="162">
        <f>178.903*13.5</f>
        <v>2415.1905</v>
      </c>
      <c r="F12" s="162"/>
      <c r="G12" s="162"/>
      <c r="H12" s="157">
        <v>13.5</v>
      </c>
      <c r="I12" s="158">
        <f t="shared" si="1"/>
        <v>283.0603266</v>
      </c>
      <c r="J12" s="159">
        <f t="shared" si="2"/>
        <v>2132.130173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79</v>
      </c>
      <c r="C13" s="160">
        <v>16.5</v>
      </c>
      <c r="D13" s="161">
        <v>0.1057</v>
      </c>
      <c r="E13" s="162">
        <f>187.641*14.3</f>
        <v>2683.2663</v>
      </c>
      <c r="F13" s="162"/>
      <c r="G13" s="162"/>
      <c r="H13" s="157">
        <v>14.3</v>
      </c>
      <c r="I13" s="158">
        <f t="shared" si="1"/>
        <v>283.6212479</v>
      </c>
      <c r="J13" s="159">
        <f t="shared" si="2"/>
        <v>2399.645052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63"/>
      <c r="B14" s="164"/>
      <c r="C14" s="165"/>
      <c r="D14" s="166"/>
      <c r="E14" s="167">
        <f>SUM(E8:E13)</f>
        <v>17103.7926</v>
      </c>
      <c r="F14" s="168"/>
      <c r="G14" s="168"/>
      <c r="H14" s="169"/>
      <c r="I14" s="170">
        <f t="shared" ref="I14:J14" si="3">SUM(I8:I13)</f>
        <v>1322.896902</v>
      </c>
      <c r="J14" s="171">
        <f t="shared" si="3"/>
        <v>15780.8957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40.5" customHeight="1">
      <c r="A20" s="177"/>
      <c r="B20" s="160" t="s">
        <v>12</v>
      </c>
      <c r="C20" s="178" t="s">
        <v>56</v>
      </c>
      <c r="D20" s="52"/>
      <c r="E20" s="53"/>
      <c r="F20" s="179"/>
      <c r="G20" s="179"/>
      <c r="H20" s="180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7" t="s">
        <v>18</v>
      </c>
      <c r="O20" s="139"/>
      <c r="P20" s="139"/>
      <c r="Q20" s="177" t="s">
        <v>57</v>
      </c>
      <c r="R20" s="181"/>
      <c r="S20" s="160" t="s">
        <v>17</v>
      </c>
      <c r="T20" s="160" t="s">
        <v>15</v>
      </c>
      <c r="U20" s="177" t="s">
        <v>18</v>
      </c>
      <c r="V20" s="139"/>
      <c r="W20" s="177" t="s">
        <v>19</v>
      </c>
      <c r="X20" s="177" t="s">
        <v>20</v>
      </c>
      <c r="Y20" s="177" t="s">
        <v>21</v>
      </c>
      <c r="Z20" s="177" t="s">
        <v>80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1.0</v>
      </c>
      <c r="B21" s="182" t="s">
        <v>77</v>
      </c>
      <c r="C21" s="183">
        <v>103.0</v>
      </c>
      <c r="D21" s="183">
        <v>203.0</v>
      </c>
      <c r="E21" s="183">
        <v>134.0</v>
      </c>
      <c r="F21" s="183">
        <f t="shared" ref="F21:F213" si="5">VALUE(IF(RIGHT(B21, 1)="%", RIGHT(B21, 3), 0))</f>
        <v>0</v>
      </c>
      <c r="G21" s="183">
        <f t="shared" ref="G21:G213" si="6">+R21*C21/100*D21/100*E21/100</f>
        <v>79.851471</v>
      </c>
      <c r="H21" s="184">
        <f t="shared" ref="H21:H213" si="7">IF(F21=0, G21, F21*G21)</f>
        <v>79.851471</v>
      </c>
      <c r="I21" s="183">
        <v>1.0</v>
      </c>
      <c r="J21" s="185">
        <f t="shared" ref="J21:J213" si="8">+I21*H21</f>
        <v>79.851471</v>
      </c>
      <c r="K21" s="186"/>
      <c r="L21" s="187">
        <f>D21*25.4/1000</f>
        <v>5.1562</v>
      </c>
      <c r="M21" s="188">
        <f>+I21</f>
        <v>1</v>
      </c>
      <c r="N21" s="188">
        <f>M21*L21</f>
        <v>5.1562</v>
      </c>
      <c r="O21" s="186"/>
      <c r="P21" s="186"/>
      <c r="Q21" s="187">
        <v>121.0</v>
      </c>
      <c r="R21" s="189">
        <v>28.5</v>
      </c>
      <c r="S21" s="177">
        <f t="shared" ref="S21:S214" si="9">E21/100</f>
        <v>1.34</v>
      </c>
      <c r="T21" s="160">
        <f t="shared" ref="T21:T214" si="10">I21</f>
        <v>1</v>
      </c>
      <c r="U21" s="160">
        <f t="shared" ref="U21:U214" si="11">T21*S21</f>
        <v>1.34</v>
      </c>
      <c r="V21" s="190">
        <f t="shared" ref="V21:V71" si="12">R21*C21/100*D21/100*E21/100</f>
        <v>79.851471</v>
      </c>
      <c r="W21" s="177">
        <f t="shared" ref="W21:X21" si="4">C21/100</f>
        <v>1.03</v>
      </c>
      <c r="X21" s="177">
        <f t="shared" si="4"/>
        <v>2.03</v>
      </c>
      <c r="Y21" s="177">
        <f t="shared" ref="Y21:Y214" si="14">U21</f>
        <v>1.34</v>
      </c>
      <c r="Z21" s="191">
        <f t="shared" ref="Z21:Z214" si="15">W21*X21*Y21</f>
        <v>2.801806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2.0</v>
      </c>
      <c r="B22" s="192" t="s">
        <v>77</v>
      </c>
      <c r="C22" s="192">
        <v>76.0</v>
      </c>
      <c r="D22" s="192">
        <v>203.0</v>
      </c>
      <c r="E22" s="192">
        <v>198.0</v>
      </c>
      <c r="F22" s="192">
        <f t="shared" si="5"/>
        <v>0</v>
      </c>
      <c r="G22" s="192">
        <f t="shared" si="6"/>
        <v>87.060204</v>
      </c>
      <c r="H22" s="193">
        <f t="shared" si="7"/>
        <v>87.060204</v>
      </c>
      <c r="I22" s="192">
        <v>1.0</v>
      </c>
      <c r="J22" s="194">
        <f t="shared" si="8"/>
        <v>87.060204</v>
      </c>
      <c r="K22" s="139"/>
      <c r="L22" s="177"/>
      <c r="M22" s="160"/>
      <c r="N22" s="160"/>
      <c r="O22" s="139"/>
      <c r="P22" s="139"/>
      <c r="Q22" s="177">
        <v>120.0</v>
      </c>
      <c r="R22" s="189">
        <v>28.5</v>
      </c>
      <c r="S22" s="177">
        <f t="shared" si="9"/>
        <v>1.98</v>
      </c>
      <c r="T22" s="160">
        <f t="shared" si="10"/>
        <v>1</v>
      </c>
      <c r="U22" s="160">
        <f t="shared" si="11"/>
        <v>1.98</v>
      </c>
      <c r="V22" s="190">
        <f t="shared" si="12"/>
        <v>87.060204</v>
      </c>
      <c r="W22" s="177">
        <f t="shared" ref="W22:X22" si="13">C22/100</f>
        <v>0.76</v>
      </c>
      <c r="X22" s="177">
        <f t="shared" si="13"/>
        <v>2.03</v>
      </c>
      <c r="Y22" s="177">
        <f t="shared" si="14"/>
        <v>1.98</v>
      </c>
      <c r="Z22" s="191">
        <f t="shared" si="15"/>
        <v>3.054744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3.0</v>
      </c>
      <c r="B23" s="192" t="s">
        <v>77</v>
      </c>
      <c r="C23" s="192">
        <v>83.0</v>
      </c>
      <c r="D23" s="192">
        <v>203.0</v>
      </c>
      <c r="E23" s="192">
        <v>196.0</v>
      </c>
      <c r="F23" s="192">
        <f t="shared" si="5"/>
        <v>0</v>
      </c>
      <c r="G23" s="192">
        <f t="shared" si="6"/>
        <v>94.118514</v>
      </c>
      <c r="H23" s="193">
        <f t="shared" si="7"/>
        <v>94.118514</v>
      </c>
      <c r="I23" s="192">
        <v>1.0</v>
      </c>
      <c r="J23" s="194">
        <f t="shared" si="8"/>
        <v>94.118514</v>
      </c>
      <c r="K23" s="139"/>
      <c r="L23" s="177">
        <f t="shared" ref="L23:L45" si="17">D23*25.4/1000</f>
        <v>5.1562</v>
      </c>
      <c r="M23" s="160">
        <f t="shared" ref="M23:M46" si="18">+I23</f>
        <v>1</v>
      </c>
      <c r="N23" s="160">
        <f t="shared" ref="N23:N45" si="19">M23*L23</f>
        <v>5.1562</v>
      </c>
      <c r="O23" s="139"/>
      <c r="P23" s="139"/>
      <c r="Q23" s="177">
        <v>108.0</v>
      </c>
      <c r="R23" s="189">
        <v>28.5</v>
      </c>
      <c r="S23" s="177">
        <f t="shared" si="9"/>
        <v>1.96</v>
      </c>
      <c r="T23" s="160">
        <f t="shared" si="10"/>
        <v>1</v>
      </c>
      <c r="U23" s="160">
        <f t="shared" si="11"/>
        <v>1.96</v>
      </c>
      <c r="V23" s="190">
        <f t="shared" si="12"/>
        <v>94.118514</v>
      </c>
      <c r="W23" s="177">
        <f t="shared" ref="W23:X23" si="16">C23/100</f>
        <v>0.83</v>
      </c>
      <c r="X23" s="177">
        <f t="shared" si="16"/>
        <v>2.03</v>
      </c>
      <c r="Y23" s="177">
        <f t="shared" si="14"/>
        <v>1.96</v>
      </c>
      <c r="Z23" s="191">
        <f t="shared" si="15"/>
        <v>3.302404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2" t="s">
        <v>77</v>
      </c>
      <c r="C24" s="192">
        <v>104.0</v>
      </c>
      <c r="D24" s="192">
        <v>203.0</v>
      </c>
      <c r="E24" s="192">
        <v>174.0</v>
      </c>
      <c r="F24" s="192">
        <f t="shared" si="5"/>
        <v>0</v>
      </c>
      <c r="G24" s="192">
        <f t="shared" si="6"/>
        <v>104.694408</v>
      </c>
      <c r="H24" s="193">
        <f t="shared" si="7"/>
        <v>104.694408</v>
      </c>
      <c r="I24" s="192">
        <v>1.0</v>
      </c>
      <c r="J24" s="194">
        <f t="shared" si="8"/>
        <v>104.694408</v>
      </c>
      <c r="K24" s="139"/>
      <c r="L24" s="177">
        <f t="shared" si="17"/>
        <v>5.1562</v>
      </c>
      <c r="M24" s="160">
        <f t="shared" si="18"/>
        <v>1</v>
      </c>
      <c r="N24" s="160">
        <f t="shared" si="19"/>
        <v>5.1562</v>
      </c>
      <c r="O24" s="139"/>
      <c r="P24" s="139"/>
      <c r="Q24" s="177">
        <v>110.0</v>
      </c>
      <c r="R24" s="189">
        <v>28.5</v>
      </c>
      <c r="S24" s="177">
        <f t="shared" si="9"/>
        <v>1.74</v>
      </c>
      <c r="T24" s="160">
        <f t="shared" si="10"/>
        <v>1</v>
      </c>
      <c r="U24" s="160">
        <f t="shared" si="11"/>
        <v>1.74</v>
      </c>
      <c r="V24" s="190">
        <f t="shared" si="12"/>
        <v>104.694408</v>
      </c>
      <c r="W24" s="177">
        <f t="shared" ref="W24:X24" si="20">C24/100</f>
        <v>1.04</v>
      </c>
      <c r="X24" s="177">
        <f t="shared" si="20"/>
        <v>2.03</v>
      </c>
      <c r="Y24" s="177">
        <f t="shared" si="14"/>
        <v>1.74</v>
      </c>
      <c r="Z24" s="191">
        <f t="shared" si="15"/>
        <v>3.673488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2" t="s">
        <v>77</v>
      </c>
      <c r="C25" s="192">
        <v>102.0</v>
      </c>
      <c r="D25" s="192">
        <v>204.0</v>
      </c>
      <c r="E25" s="192">
        <v>2869.0</v>
      </c>
      <c r="F25" s="192">
        <f t="shared" si="5"/>
        <v>0</v>
      </c>
      <c r="G25" s="192">
        <f t="shared" si="6"/>
        <v>1701.397332</v>
      </c>
      <c r="H25" s="193">
        <f t="shared" si="7"/>
        <v>1701.397332</v>
      </c>
      <c r="I25" s="192">
        <v>1.0</v>
      </c>
      <c r="J25" s="194">
        <f t="shared" si="8"/>
        <v>1701.397332</v>
      </c>
      <c r="K25" s="139"/>
      <c r="L25" s="177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7">
        <v>1755.0</v>
      </c>
      <c r="R25" s="189">
        <v>28.5</v>
      </c>
      <c r="S25" s="177">
        <f t="shared" si="9"/>
        <v>28.69</v>
      </c>
      <c r="T25" s="160">
        <f t="shared" si="10"/>
        <v>1</v>
      </c>
      <c r="U25" s="160">
        <f t="shared" si="11"/>
        <v>28.69</v>
      </c>
      <c r="V25" s="190">
        <f t="shared" si="12"/>
        <v>1701.397332</v>
      </c>
      <c r="W25" s="177">
        <f t="shared" ref="W25:X25" si="21">C25/100</f>
        <v>1.02</v>
      </c>
      <c r="X25" s="177">
        <f t="shared" si="21"/>
        <v>2.04</v>
      </c>
      <c r="Y25" s="177">
        <f t="shared" si="14"/>
        <v>28.69</v>
      </c>
      <c r="Z25" s="191">
        <f t="shared" si="15"/>
        <v>59.698152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6.0</v>
      </c>
      <c r="B26" s="192" t="s">
        <v>77</v>
      </c>
      <c r="C26" s="192">
        <v>103.0</v>
      </c>
      <c r="D26" s="192">
        <v>204.0</v>
      </c>
      <c r="E26" s="192">
        <v>2889.0</v>
      </c>
      <c r="F26" s="192">
        <f t="shared" si="5"/>
        <v>0</v>
      </c>
      <c r="G26" s="192">
        <f t="shared" si="6"/>
        <v>1730.054538</v>
      </c>
      <c r="H26" s="193">
        <f t="shared" si="7"/>
        <v>1730.054538</v>
      </c>
      <c r="I26" s="192">
        <v>1.0</v>
      </c>
      <c r="J26" s="194">
        <f t="shared" si="8"/>
        <v>1730.054538</v>
      </c>
      <c r="K26" s="139"/>
      <c r="L26" s="177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7">
        <v>1755.0</v>
      </c>
      <c r="R26" s="189">
        <v>28.5</v>
      </c>
      <c r="S26" s="177">
        <f t="shared" si="9"/>
        <v>28.89</v>
      </c>
      <c r="T26" s="160">
        <f t="shared" si="10"/>
        <v>1</v>
      </c>
      <c r="U26" s="160">
        <f t="shared" si="11"/>
        <v>28.89</v>
      </c>
      <c r="V26" s="190">
        <f t="shared" si="12"/>
        <v>1730.054538</v>
      </c>
      <c r="W26" s="177">
        <f t="shared" ref="W26:X26" si="22">C26/100</f>
        <v>1.03</v>
      </c>
      <c r="X26" s="177">
        <f t="shared" si="22"/>
        <v>2.04</v>
      </c>
      <c r="Y26" s="177">
        <f t="shared" si="14"/>
        <v>28.89</v>
      </c>
      <c r="Z26" s="191">
        <f t="shared" si="15"/>
        <v>60.703668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7.0</v>
      </c>
      <c r="B27" s="192" t="s">
        <v>77</v>
      </c>
      <c r="C27" s="192">
        <v>105.0</v>
      </c>
      <c r="D27" s="192">
        <v>204.0</v>
      </c>
      <c r="E27" s="192">
        <v>2873.0</v>
      </c>
      <c r="F27" s="192">
        <f t="shared" si="5"/>
        <v>0</v>
      </c>
      <c r="G27" s="192">
        <f t="shared" si="6"/>
        <v>1753.88031</v>
      </c>
      <c r="H27" s="193">
        <f t="shared" si="7"/>
        <v>1753.88031</v>
      </c>
      <c r="I27" s="192">
        <v>1.0</v>
      </c>
      <c r="J27" s="194">
        <f t="shared" si="8"/>
        <v>1753.88031</v>
      </c>
      <c r="K27" s="139"/>
      <c r="L27" s="177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7">
        <v>1770.0</v>
      </c>
      <c r="R27" s="189">
        <v>28.5</v>
      </c>
      <c r="S27" s="177">
        <f t="shared" si="9"/>
        <v>28.73</v>
      </c>
      <c r="T27" s="160">
        <f t="shared" si="10"/>
        <v>1</v>
      </c>
      <c r="U27" s="160">
        <f t="shared" si="11"/>
        <v>28.73</v>
      </c>
      <c r="V27" s="190">
        <f t="shared" si="12"/>
        <v>1753.88031</v>
      </c>
      <c r="W27" s="177">
        <f t="shared" ref="W27:X27" si="23">C27/100</f>
        <v>1.05</v>
      </c>
      <c r="X27" s="177">
        <f t="shared" si="23"/>
        <v>2.04</v>
      </c>
      <c r="Y27" s="177">
        <f t="shared" si="14"/>
        <v>28.73</v>
      </c>
      <c r="Z27" s="191">
        <f t="shared" si="15"/>
        <v>61.53966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8.0</v>
      </c>
      <c r="B28" s="192" t="s">
        <v>77</v>
      </c>
      <c r="C28" s="192">
        <v>105.0</v>
      </c>
      <c r="D28" s="192">
        <v>204.0</v>
      </c>
      <c r="E28" s="192">
        <v>2867.0</v>
      </c>
      <c r="F28" s="192">
        <f t="shared" si="5"/>
        <v>0</v>
      </c>
      <c r="G28" s="192">
        <f t="shared" si="6"/>
        <v>1750.21749</v>
      </c>
      <c r="H28" s="193">
        <f t="shared" si="7"/>
        <v>1750.21749</v>
      </c>
      <c r="I28" s="192">
        <v>1.0</v>
      </c>
      <c r="J28" s="194">
        <f t="shared" si="8"/>
        <v>1750.21749</v>
      </c>
      <c r="K28" s="139"/>
      <c r="L28" s="177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7">
        <v>1755.0</v>
      </c>
      <c r="R28" s="189">
        <v>28.5</v>
      </c>
      <c r="S28" s="177">
        <f t="shared" si="9"/>
        <v>28.67</v>
      </c>
      <c r="T28" s="160">
        <f t="shared" si="10"/>
        <v>1</v>
      </c>
      <c r="U28" s="160">
        <f t="shared" si="11"/>
        <v>28.67</v>
      </c>
      <c r="V28" s="190">
        <f t="shared" si="12"/>
        <v>1750.21749</v>
      </c>
      <c r="W28" s="177">
        <f t="shared" ref="W28:X28" si="24">C28/100</f>
        <v>1.05</v>
      </c>
      <c r="X28" s="177">
        <f t="shared" si="24"/>
        <v>2.04</v>
      </c>
      <c r="Y28" s="177">
        <f t="shared" si="14"/>
        <v>28.67</v>
      </c>
      <c r="Z28" s="191">
        <f t="shared" si="15"/>
        <v>61.41114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9.0</v>
      </c>
      <c r="B29" s="182" t="s">
        <v>66</v>
      </c>
      <c r="C29" s="183">
        <v>104.0</v>
      </c>
      <c r="D29" s="183">
        <v>202.0</v>
      </c>
      <c r="E29" s="183">
        <v>137.0</v>
      </c>
      <c r="F29" s="183">
        <f t="shared" si="5"/>
        <v>0</v>
      </c>
      <c r="G29" s="183">
        <f t="shared" si="6"/>
        <v>73.391448</v>
      </c>
      <c r="H29" s="184">
        <f t="shared" si="7"/>
        <v>73.391448</v>
      </c>
      <c r="I29" s="183">
        <v>1.0</v>
      </c>
      <c r="J29" s="185">
        <f t="shared" si="8"/>
        <v>73.391448</v>
      </c>
      <c r="K29" s="186"/>
      <c r="L29" s="187">
        <f t="shared" si="17"/>
        <v>5.1308</v>
      </c>
      <c r="M29" s="188">
        <f t="shared" si="18"/>
        <v>1</v>
      </c>
      <c r="N29" s="188">
        <f t="shared" si="19"/>
        <v>5.1308</v>
      </c>
      <c r="O29" s="186"/>
      <c r="P29" s="186"/>
      <c r="Q29" s="187">
        <v>110.0</v>
      </c>
      <c r="R29" s="189">
        <v>25.5</v>
      </c>
      <c r="S29" s="177">
        <f t="shared" si="9"/>
        <v>1.37</v>
      </c>
      <c r="T29" s="160">
        <f t="shared" si="10"/>
        <v>1</v>
      </c>
      <c r="U29" s="160">
        <f t="shared" si="11"/>
        <v>1.37</v>
      </c>
      <c r="V29" s="190">
        <f t="shared" si="12"/>
        <v>73.391448</v>
      </c>
      <c r="W29" s="177">
        <f t="shared" ref="W29:X29" si="25">C29/100</f>
        <v>1.04</v>
      </c>
      <c r="X29" s="177">
        <f t="shared" si="25"/>
        <v>2.02</v>
      </c>
      <c r="Y29" s="177">
        <f t="shared" si="14"/>
        <v>1.37</v>
      </c>
      <c r="Z29" s="191">
        <f t="shared" si="15"/>
        <v>2.878096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10.0</v>
      </c>
      <c r="B30" s="192" t="s">
        <v>66</v>
      </c>
      <c r="C30" s="192">
        <v>53.0</v>
      </c>
      <c r="D30" s="192">
        <v>202.0</v>
      </c>
      <c r="E30" s="192">
        <v>178.0</v>
      </c>
      <c r="F30" s="192">
        <f t="shared" si="5"/>
        <v>0</v>
      </c>
      <c r="G30" s="192">
        <f t="shared" si="6"/>
        <v>48.594534</v>
      </c>
      <c r="H30" s="193">
        <f t="shared" si="7"/>
        <v>48.594534</v>
      </c>
      <c r="I30" s="192">
        <v>1.0</v>
      </c>
      <c r="J30" s="194">
        <f t="shared" si="8"/>
        <v>48.594534</v>
      </c>
      <c r="K30" s="139"/>
      <c r="L30" s="177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7">
        <v>90.0</v>
      </c>
      <c r="R30" s="189">
        <v>25.5</v>
      </c>
      <c r="S30" s="177">
        <f t="shared" si="9"/>
        <v>1.78</v>
      </c>
      <c r="T30" s="160">
        <f t="shared" si="10"/>
        <v>1</v>
      </c>
      <c r="U30" s="160">
        <f t="shared" si="11"/>
        <v>1.78</v>
      </c>
      <c r="V30" s="190">
        <f t="shared" si="12"/>
        <v>48.594534</v>
      </c>
      <c r="W30" s="177">
        <f t="shared" ref="W30:X30" si="26">C30/100</f>
        <v>0.53</v>
      </c>
      <c r="X30" s="177">
        <f t="shared" si="26"/>
        <v>2.02</v>
      </c>
      <c r="Y30" s="177">
        <f t="shared" si="14"/>
        <v>1.78</v>
      </c>
      <c r="Z30" s="191">
        <f t="shared" si="15"/>
        <v>1.905668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11.0</v>
      </c>
      <c r="B31" s="192" t="s">
        <v>66</v>
      </c>
      <c r="C31" s="192">
        <v>97.0</v>
      </c>
      <c r="D31" s="192">
        <v>202.0</v>
      </c>
      <c r="E31" s="192">
        <v>210.0</v>
      </c>
      <c r="F31" s="192">
        <f t="shared" si="5"/>
        <v>0</v>
      </c>
      <c r="G31" s="192">
        <f t="shared" si="6"/>
        <v>104.92587</v>
      </c>
      <c r="H31" s="193">
        <f t="shared" si="7"/>
        <v>104.92587</v>
      </c>
      <c r="I31" s="192">
        <v>1.0</v>
      </c>
      <c r="J31" s="194">
        <f t="shared" si="8"/>
        <v>104.92587</v>
      </c>
      <c r="K31" s="139"/>
      <c r="L31" s="177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7">
        <v>114.0</v>
      </c>
      <c r="R31" s="189">
        <v>25.5</v>
      </c>
      <c r="S31" s="177">
        <f t="shared" si="9"/>
        <v>2.1</v>
      </c>
      <c r="T31" s="160">
        <f t="shared" si="10"/>
        <v>1</v>
      </c>
      <c r="U31" s="160">
        <f t="shared" si="11"/>
        <v>2.1</v>
      </c>
      <c r="V31" s="190">
        <f t="shared" si="12"/>
        <v>104.92587</v>
      </c>
      <c r="W31" s="177">
        <f t="shared" ref="W31:X31" si="27">C31/100</f>
        <v>0.97</v>
      </c>
      <c r="X31" s="177">
        <f t="shared" si="27"/>
        <v>2.02</v>
      </c>
      <c r="Y31" s="177">
        <f t="shared" si="14"/>
        <v>2.1</v>
      </c>
      <c r="Z31" s="191">
        <f t="shared" si="15"/>
        <v>4.11474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12.0</v>
      </c>
      <c r="B32" s="192" t="s">
        <v>66</v>
      </c>
      <c r="C32" s="192">
        <v>91.0</v>
      </c>
      <c r="D32" s="192">
        <v>202.0</v>
      </c>
      <c r="E32" s="192">
        <v>198.0</v>
      </c>
      <c r="F32" s="192">
        <f t="shared" si="5"/>
        <v>0</v>
      </c>
      <c r="G32" s="192">
        <f t="shared" si="6"/>
        <v>92.810718</v>
      </c>
      <c r="H32" s="193">
        <f t="shared" si="7"/>
        <v>92.810718</v>
      </c>
      <c r="I32" s="192">
        <v>1.0</v>
      </c>
      <c r="J32" s="194">
        <f t="shared" si="8"/>
        <v>92.810718</v>
      </c>
      <c r="K32" s="139"/>
      <c r="L32" s="177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7">
        <v>108.0</v>
      </c>
      <c r="R32" s="189">
        <v>25.5</v>
      </c>
      <c r="S32" s="177">
        <f t="shared" si="9"/>
        <v>1.98</v>
      </c>
      <c r="T32" s="160">
        <f t="shared" si="10"/>
        <v>1</v>
      </c>
      <c r="U32" s="160">
        <f t="shared" si="11"/>
        <v>1.98</v>
      </c>
      <c r="V32" s="190">
        <f t="shared" si="12"/>
        <v>92.810718</v>
      </c>
      <c r="W32" s="177">
        <f t="shared" ref="W32:X32" si="28">C32/100</f>
        <v>0.91</v>
      </c>
      <c r="X32" s="177">
        <f t="shared" si="28"/>
        <v>2.02</v>
      </c>
      <c r="Y32" s="177">
        <f t="shared" si="14"/>
        <v>1.98</v>
      </c>
      <c r="Z32" s="191">
        <f t="shared" si="15"/>
        <v>3.639636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13.0</v>
      </c>
      <c r="B33" s="192" t="s">
        <v>66</v>
      </c>
      <c r="C33" s="192">
        <v>106.0</v>
      </c>
      <c r="D33" s="192">
        <v>204.0</v>
      </c>
      <c r="E33" s="192">
        <v>1425.0</v>
      </c>
      <c r="F33" s="192">
        <f t="shared" si="5"/>
        <v>0</v>
      </c>
      <c r="G33" s="192">
        <f t="shared" si="6"/>
        <v>785.7621</v>
      </c>
      <c r="H33" s="193">
        <f t="shared" si="7"/>
        <v>785.7621</v>
      </c>
      <c r="I33" s="192">
        <v>1.0</v>
      </c>
      <c r="J33" s="194">
        <f t="shared" si="8"/>
        <v>785.7621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770.0</v>
      </c>
      <c r="R33" s="189">
        <v>25.5</v>
      </c>
      <c r="S33" s="177">
        <f t="shared" si="9"/>
        <v>14.25</v>
      </c>
      <c r="T33" s="160">
        <f t="shared" si="10"/>
        <v>1</v>
      </c>
      <c r="U33" s="160">
        <f t="shared" si="11"/>
        <v>14.25</v>
      </c>
      <c r="V33" s="190">
        <f t="shared" si="12"/>
        <v>785.7621</v>
      </c>
      <c r="W33" s="177">
        <f t="shared" ref="W33:X33" si="29">C33/100</f>
        <v>1.06</v>
      </c>
      <c r="X33" s="177">
        <f t="shared" si="29"/>
        <v>2.04</v>
      </c>
      <c r="Y33" s="177">
        <f t="shared" si="14"/>
        <v>14.25</v>
      </c>
      <c r="Z33" s="191">
        <f t="shared" si="15"/>
        <v>30.8142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14.0</v>
      </c>
      <c r="B34" s="192" t="s">
        <v>66</v>
      </c>
      <c r="C34" s="192">
        <v>107.0</v>
      </c>
      <c r="D34" s="192">
        <v>204.0</v>
      </c>
      <c r="E34" s="192">
        <v>2866.0</v>
      </c>
      <c r="F34" s="192">
        <f t="shared" si="5"/>
        <v>0</v>
      </c>
      <c r="G34" s="192">
        <f t="shared" si="6"/>
        <v>1595.255724</v>
      </c>
      <c r="H34" s="193">
        <f t="shared" si="7"/>
        <v>1595.255724</v>
      </c>
      <c r="I34" s="192">
        <v>1.0</v>
      </c>
      <c r="J34" s="194">
        <f t="shared" si="8"/>
        <v>1595.255724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1575.0</v>
      </c>
      <c r="R34" s="189">
        <v>25.5</v>
      </c>
      <c r="S34" s="177">
        <f t="shared" si="9"/>
        <v>28.66</v>
      </c>
      <c r="T34" s="160">
        <f t="shared" si="10"/>
        <v>1</v>
      </c>
      <c r="U34" s="160">
        <f t="shared" si="11"/>
        <v>28.66</v>
      </c>
      <c r="V34" s="190">
        <f t="shared" si="12"/>
        <v>1595.255724</v>
      </c>
      <c r="W34" s="177">
        <f t="shared" ref="W34:X34" si="30">C34/100</f>
        <v>1.07</v>
      </c>
      <c r="X34" s="177">
        <f t="shared" si="30"/>
        <v>2.04</v>
      </c>
      <c r="Y34" s="177">
        <f t="shared" si="14"/>
        <v>28.66</v>
      </c>
      <c r="Z34" s="191">
        <f t="shared" si="15"/>
        <v>62.559048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15.0</v>
      </c>
      <c r="B35" s="182" t="s">
        <v>67</v>
      </c>
      <c r="C35" s="192">
        <v>58.0</v>
      </c>
      <c r="D35" s="192">
        <v>195.0</v>
      </c>
      <c r="E35" s="192">
        <v>236.0</v>
      </c>
      <c r="F35" s="192">
        <f t="shared" si="5"/>
        <v>0</v>
      </c>
      <c r="G35" s="192">
        <f t="shared" si="6"/>
        <v>134.79258</v>
      </c>
      <c r="H35" s="193">
        <f t="shared" si="7"/>
        <v>134.79258</v>
      </c>
      <c r="I35" s="192">
        <v>1.0</v>
      </c>
      <c r="J35" s="194">
        <f t="shared" si="8"/>
        <v>134.79258</v>
      </c>
      <c r="K35" s="139"/>
      <c r="L35" s="177">
        <f t="shared" si="17"/>
        <v>4.953</v>
      </c>
      <c r="M35" s="160">
        <f t="shared" si="18"/>
        <v>1</v>
      </c>
      <c r="N35" s="160">
        <f t="shared" si="19"/>
        <v>4.953</v>
      </c>
      <c r="O35" s="139"/>
      <c r="P35" s="139"/>
      <c r="Q35" s="177">
        <v>170.0</v>
      </c>
      <c r="R35" s="189">
        <v>50.5</v>
      </c>
      <c r="S35" s="177">
        <f t="shared" si="9"/>
        <v>2.36</v>
      </c>
      <c r="T35" s="160">
        <f t="shared" si="10"/>
        <v>1</v>
      </c>
      <c r="U35" s="160">
        <f t="shared" si="11"/>
        <v>2.36</v>
      </c>
      <c r="V35" s="190">
        <f t="shared" si="12"/>
        <v>134.79258</v>
      </c>
      <c r="W35" s="177">
        <f t="shared" ref="W35:X35" si="31">C35/100</f>
        <v>0.58</v>
      </c>
      <c r="X35" s="177">
        <f t="shared" si="31"/>
        <v>1.95</v>
      </c>
      <c r="Y35" s="177">
        <f t="shared" si="14"/>
        <v>2.36</v>
      </c>
      <c r="Z35" s="191">
        <f t="shared" si="15"/>
        <v>2.66916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16.0</v>
      </c>
      <c r="B36" s="182" t="s">
        <v>78</v>
      </c>
      <c r="C36" s="192">
        <v>73.0</v>
      </c>
      <c r="D36" s="192">
        <v>187.0</v>
      </c>
      <c r="E36" s="192">
        <v>196.0</v>
      </c>
      <c r="F36" s="192">
        <f t="shared" si="5"/>
        <v>0</v>
      </c>
      <c r="G36" s="192">
        <f t="shared" si="6"/>
        <v>108.361638</v>
      </c>
      <c r="H36" s="193">
        <f t="shared" si="7"/>
        <v>108.361638</v>
      </c>
      <c r="I36" s="192">
        <v>1.0</v>
      </c>
      <c r="J36" s="194">
        <f t="shared" si="8"/>
        <v>108.361638</v>
      </c>
      <c r="K36" s="139"/>
      <c r="L36" s="177">
        <f t="shared" si="17"/>
        <v>4.7498</v>
      </c>
      <c r="M36" s="160">
        <f t="shared" si="18"/>
        <v>1</v>
      </c>
      <c r="N36" s="160">
        <f t="shared" si="19"/>
        <v>4.7498</v>
      </c>
      <c r="O36" s="139"/>
      <c r="P36" s="139"/>
      <c r="Q36" s="177">
        <v>115.0</v>
      </c>
      <c r="R36" s="189">
        <v>40.5</v>
      </c>
      <c r="S36" s="177">
        <f t="shared" si="9"/>
        <v>1.96</v>
      </c>
      <c r="T36" s="160">
        <f t="shared" si="10"/>
        <v>1</v>
      </c>
      <c r="U36" s="160">
        <f t="shared" si="11"/>
        <v>1.96</v>
      </c>
      <c r="V36" s="190">
        <f t="shared" si="12"/>
        <v>108.361638</v>
      </c>
      <c r="W36" s="177">
        <f t="shared" ref="W36:X36" si="32">C36/100</f>
        <v>0.73</v>
      </c>
      <c r="X36" s="177">
        <f t="shared" si="32"/>
        <v>1.87</v>
      </c>
      <c r="Y36" s="177">
        <f t="shared" si="14"/>
        <v>1.96</v>
      </c>
      <c r="Z36" s="191">
        <f t="shared" si="15"/>
        <v>2.675596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17.0</v>
      </c>
      <c r="B37" s="192" t="s">
        <v>78</v>
      </c>
      <c r="C37" s="192">
        <v>68.0</v>
      </c>
      <c r="D37" s="192">
        <v>111.0</v>
      </c>
      <c r="E37" s="192">
        <v>195.0</v>
      </c>
      <c r="F37" s="192">
        <f t="shared" si="5"/>
        <v>0</v>
      </c>
      <c r="G37" s="192">
        <f t="shared" si="6"/>
        <v>59.61033</v>
      </c>
      <c r="H37" s="193">
        <f t="shared" si="7"/>
        <v>59.61033</v>
      </c>
      <c r="I37" s="192">
        <v>1.0</v>
      </c>
      <c r="J37" s="194">
        <f t="shared" si="8"/>
        <v>59.61033</v>
      </c>
      <c r="K37" s="139"/>
      <c r="L37" s="177">
        <f t="shared" si="17"/>
        <v>2.8194</v>
      </c>
      <c r="M37" s="160">
        <f t="shared" si="18"/>
        <v>1</v>
      </c>
      <c r="N37" s="160">
        <f t="shared" si="19"/>
        <v>2.8194</v>
      </c>
      <c r="O37" s="139"/>
      <c r="P37" s="139"/>
      <c r="Q37" s="177">
        <v>56.0</v>
      </c>
      <c r="R37" s="189">
        <v>40.5</v>
      </c>
      <c r="S37" s="177">
        <f t="shared" si="9"/>
        <v>1.95</v>
      </c>
      <c r="T37" s="160">
        <f t="shared" si="10"/>
        <v>1</v>
      </c>
      <c r="U37" s="160">
        <f t="shared" si="11"/>
        <v>1.95</v>
      </c>
      <c r="V37" s="190">
        <f t="shared" si="12"/>
        <v>59.61033</v>
      </c>
      <c r="W37" s="177">
        <f t="shared" ref="W37:X37" si="33">C37/100</f>
        <v>0.68</v>
      </c>
      <c r="X37" s="177">
        <f t="shared" si="33"/>
        <v>1.11</v>
      </c>
      <c r="Y37" s="177">
        <f t="shared" si="14"/>
        <v>1.95</v>
      </c>
      <c r="Z37" s="191">
        <f t="shared" si="15"/>
        <v>1.47186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18.0</v>
      </c>
      <c r="B38" s="182" t="s">
        <v>70</v>
      </c>
      <c r="C38" s="183">
        <v>103.0</v>
      </c>
      <c r="D38" s="183">
        <v>193.0</v>
      </c>
      <c r="E38" s="183">
        <v>132.0</v>
      </c>
      <c r="F38" s="183">
        <f t="shared" si="5"/>
        <v>0</v>
      </c>
      <c r="G38" s="183">
        <f t="shared" si="6"/>
        <v>44.608476</v>
      </c>
      <c r="H38" s="184">
        <f t="shared" si="7"/>
        <v>44.608476</v>
      </c>
      <c r="I38" s="183">
        <v>1.0</v>
      </c>
      <c r="J38" s="185">
        <f t="shared" si="8"/>
        <v>44.608476</v>
      </c>
      <c r="K38" s="186"/>
      <c r="L38" s="187">
        <f t="shared" si="17"/>
        <v>4.9022</v>
      </c>
      <c r="M38" s="188">
        <f t="shared" si="18"/>
        <v>1</v>
      </c>
      <c r="N38" s="188">
        <f t="shared" si="19"/>
        <v>4.9022</v>
      </c>
      <c r="O38" s="186"/>
      <c r="P38" s="186"/>
      <c r="Q38" s="187">
        <v>67.0</v>
      </c>
      <c r="R38" s="189">
        <v>17.0</v>
      </c>
      <c r="S38" s="177">
        <f t="shared" si="9"/>
        <v>1.32</v>
      </c>
      <c r="T38" s="160">
        <f t="shared" si="10"/>
        <v>1</v>
      </c>
      <c r="U38" s="160">
        <f t="shared" si="11"/>
        <v>1.32</v>
      </c>
      <c r="V38" s="190">
        <f t="shared" si="12"/>
        <v>44.608476</v>
      </c>
      <c r="W38" s="177">
        <f t="shared" ref="W38:X38" si="34">C38/100</f>
        <v>1.03</v>
      </c>
      <c r="X38" s="177">
        <f t="shared" si="34"/>
        <v>1.93</v>
      </c>
      <c r="Y38" s="177">
        <f t="shared" si="14"/>
        <v>1.32</v>
      </c>
      <c r="Z38" s="191">
        <f t="shared" si="15"/>
        <v>2.624028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19.0</v>
      </c>
      <c r="B39" s="192" t="s">
        <v>70</v>
      </c>
      <c r="C39" s="192">
        <v>75.0</v>
      </c>
      <c r="D39" s="192">
        <v>193.0</v>
      </c>
      <c r="E39" s="192">
        <v>196.0</v>
      </c>
      <c r="F39" s="192">
        <f t="shared" si="5"/>
        <v>0</v>
      </c>
      <c r="G39" s="192">
        <f t="shared" si="6"/>
        <v>48.2307</v>
      </c>
      <c r="H39" s="193">
        <f t="shared" si="7"/>
        <v>48.2307</v>
      </c>
      <c r="I39" s="192">
        <v>1.0</v>
      </c>
      <c r="J39" s="194">
        <f t="shared" si="8"/>
        <v>48.2307</v>
      </c>
      <c r="K39" s="139"/>
      <c r="L39" s="177">
        <f t="shared" si="17"/>
        <v>4.9022</v>
      </c>
      <c r="M39" s="160">
        <f t="shared" si="18"/>
        <v>1</v>
      </c>
      <c r="N39" s="160">
        <f t="shared" si="19"/>
        <v>4.9022</v>
      </c>
      <c r="O39" s="139"/>
      <c r="P39" s="139"/>
      <c r="Q39" s="177">
        <v>61.0</v>
      </c>
      <c r="R39" s="189">
        <v>17.0</v>
      </c>
      <c r="S39" s="177">
        <f t="shared" si="9"/>
        <v>1.96</v>
      </c>
      <c r="T39" s="160">
        <f t="shared" si="10"/>
        <v>1</v>
      </c>
      <c r="U39" s="160">
        <f t="shared" si="11"/>
        <v>1.96</v>
      </c>
      <c r="V39" s="190">
        <f t="shared" si="12"/>
        <v>48.2307</v>
      </c>
      <c r="W39" s="177">
        <f t="shared" ref="W39:X39" si="35">C39/100</f>
        <v>0.75</v>
      </c>
      <c r="X39" s="177">
        <f t="shared" si="35"/>
        <v>1.93</v>
      </c>
      <c r="Y39" s="177">
        <f t="shared" si="14"/>
        <v>1.96</v>
      </c>
      <c r="Z39" s="191">
        <f t="shared" si="15"/>
        <v>2.8371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20.0</v>
      </c>
      <c r="B40" s="192" t="s">
        <v>70</v>
      </c>
      <c r="C40" s="192">
        <v>104.0</v>
      </c>
      <c r="D40" s="192">
        <v>195.0</v>
      </c>
      <c r="E40" s="192">
        <v>2858.0</v>
      </c>
      <c r="F40" s="192">
        <f t="shared" si="5"/>
        <v>0</v>
      </c>
      <c r="G40" s="192">
        <f t="shared" si="6"/>
        <v>985.32408</v>
      </c>
      <c r="H40" s="193">
        <f t="shared" si="7"/>
        <v>985.32408</v>
      </c>
      <c r="I40" s="192">
        <v>1.0</v>
      </c>
      <c r="J40" s="194">
        <f t="shared" si="8"/>
        <v>985.32408</v>
      </c>
      <c r="K40" s="139"/>
      <c r="L40" s="177">
        <f t="shared" si="17"/>
        <v>4.953</v>
      </c>
      <c r="M40" s="160">
        <f t="shared" si="18"/>
        <v>1</v>
      </c>
      <c r="N40" s="160">
        <f t="shared" si="19"/>
        <v>4.953</v>
      </c>
      <c r="O40" s="139"/>
      <c r="P40" s="139"/>
      <c r="Q40" s="177">
        <v>975.0</v>
      </c>
      <c r="R40" s="189">
        <v>17.0</v>
      </c>
      <c r="S40" s="177">
        <f t="shared" si="9"/>
        <v>28.58</v>
      </c>
      <c r="T40" s="160">
        <f t="shared" si="10"/>
        <v>1</v>
      </c>
      <c r="U40" s="160">
        <f t="shared" si="11"/>
        <v>28.58</v>
      </c>
      <c r="V40" s="190">
        <f t="shared" si="12"/>
        <v>985.32408</v>
      </c>
      <c r="W40" s="177">
        <f t="shared" ref="W40:X40" si="36">C40/100</f>
        <v>1.04</v>
      </c>
      <c r="X40" s="177">
        <f t="shared" si="36"/>
        <v>1.95</v>
      </c>
      <c r="Y40" s="177">
        <f t="shared" si="14"/>
        <v>28.58</v>
      </c>
      <c r="Z40" s="191">
        <f t="shared" si="15"/>
        <v>57.96024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21.0</v>
      </c>
      <c r="B41" s="192" t="s">
        <v>70</v>
      </c>
      <c r="C41" s="192">
        <v>104.0</v>
      </c>
      <c r="D41" s="192">
        <v>195.0</v>
      </c>
      <c r="E41" s="192">
        <v>2853.0</v>
      </c>
      <c r="F41" s="192">
        <f t="shared" si="5"/>
        <v>0</v>
      </c>
      <c r="G41" s="192">
        <f t="shared" si="6"/>
        <v>983.60028</v>
      </c>
      <c r="H41" s="193">
        <f t="shared" si="7"/>
        <v>983.60028</v>
      </c>
      <c r="I41" s="192">
        <v>1.0</v>
      </c>
      <c r="J41" s="194">
        <f t="shared" si="8"/>
        <v>983.60028</v>
      </c>
      <c r="K41" s="139"/>
      <c r="L41" s="177">
        <f t="shared" si="17"/>
        <v>4.953</v>
      </c>
      <c r="M41" s="160">
        <f t="shared" si="18"/>
        <v>1</v>
      </c>
      <c r="N41" s="160">
        <f t="shared" si="19"/>
        <v>4.953</v>
      </c>
      <c r="O41" s="139"/>
      <c r="P41" s="139"/>
      <c r="Q41" s="177">
        <v>975.0</v>
      </c>
      <c r="R41" s="189">
        <v>17.0</v>
      </c>
      <c r="S41" s="177">
        <f t="shared" si="9"/>
        <v>28.53</v>
      </c>
      <c r="T41" s="160">
        <f t="shared" si="10"/>
        <v>1</v>
      </c>
      <c r="U41" s="160">
        <f t="shared" si="11"/>
        <v>28.53</v>
      </c>
      <c r="V41" s="190">
        <f t="shared" si="12"/>
        <v>983.60028</v>
      </c>
      <c r="W41" s="177">
        <f t="shared" ref="W41:X41" si="37">C41/100</f>
        <v>1.04</v>
      </c>
      <c r="X41" s="177">
        <f t="shared" si="37"/>
        <v>1.95</v>
      </c>
      <c r="Y41" s="177">
        <f t="shared" si="14"/>
        <v>28.53</v>
      </c>
      <c r="Z41" s="191">
        <f t="shared" si="15"/>
        <v>57.85884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22.0</v>
      </c>
      <c r="B42" s="182" t="s">
        <v>79</v>
      </c>
      <c r="C42" s="183">
        <v>100.0</v>
      </c>
      <c r="D42" s="183">
        <v>220.0</v>
      </c>
      <c r="E42" s="183">
        <v>130.0</v>
      </c>
      <c r="F42" s="183">
        <f t="shared" si="5"/>
        <v>0</v>
      </c>
      <c r="G42" s="183">
        <f t="shared" si="6"/>
        <v>44.33</v>
      </c>
      <c r="H42" s="184">
        <f t="shared" si="7"/>
        <v>44.33</v>
      </c>
      <c r="I42" s="183">
        <v>1.0</v>
      </c>
      <c r="J42" s="185">
        <f t="shared" si="8"/>
        <v>44.33</v>
      </c>
      <c r="K42" s="186"/>
      <c r="L42" s="187">
        <f t="shared" si="17"/>
        <v>5.588</v>
      </c>
      <c r="M42" s="188">
        <f t="shared" si="18"/>
        <v>1</v>
      </c>
      <c r="N42" s="188">
        <f t="shared" si="19"/>
        <v>5.588</v>
      </c>
      <c r="O42" s="186"/>
      <c r="P42" s="186"/>
      <c r="Q42" s="187">
        <v>75.0</v>
      </c>
      <c r="R42" s="189">
        <v>15.5</v>
      </c>
      <c r="S42" s="177">
        <f t="shared" si="9"/>
        <v>1.3</v>
      </c>
      <c r="T42" s="160">
        <f t="shared" si="10"/>
        <v>1</v>
      </c>
      <c r="U42" s="160">
        <f t="shared" si="11"/>
        <v>1.3</v>
      </c>
      <c r="V42" s="190">
        <f t="shared" si="12"/>
        <v>44.33</v>
      </c>
      <c r="W42" s="177">
        <f t="shared" ref="W42:X42" si="38">C42/100</f>
        <v>1</v>
      </c>
      <c r="X42" s="177">
        <f t="shared" si="38"/>
        <v>2.2</v>
      </c>
      <c r="Y42" s="177">
        <f t="shared" si="14"/>
        <v>1.3</v>
      </c>
      <c r="Z42" s="191">
        <f t="shared" si="15"/>
        <v>2.86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23.0</v>
      </c>
      <c r="B43" s="192" t="s">
        <v>79</v>
      </c>
      <c r="C43" s="192">
        <v>105.0</v>
      </c>
      <c r="D43" s="192">
        <v>202.0</v>
      </c>
      <c r="E43" s="192">
        <v>135.0</v>
      </c>
      <c r="F43" s="192">
        <f t="shared" si="5"/>
        <v>0</v>
      </c>
      <c r="G43" s="192">
        <f t="shared" si="6"/>
        <v>44.381925</v>
      </c>
      <c r="H43" s="193">
        <f t="shared" si="7"/>
        <v>44.381925</v>
      </c>
      <c r="I43" s="192">
        <v>1.0</v>
      </c>
      <c r="J43" s="194">
        <f t="shared" si="8"/>
        <v>44.381925</v>
      </c>
      <c r="K43" s="139"/>
      <c r="L43" s="177">
        <f t="shared" si="17"/>
        <v>5.1308</v>
      </c>
      <c r="M43" s="160">
        <f t="shared" si="18"/>
        <v>1</v>
      </c>
      <c r="N43" s="160">
        <f t="shared" si="19"/>
        <v>5.1308</v>
      </c>
      <c r="O43" s="139"/>
      <c r="P43" s="139"/>
      <c r="Q43" s="177">
        <v>71.0</v>
      </c>
      <c r="R43" s="189">
        <v>15.5</v>
      </c>
      <c r="S43" s="177">
        <f t="shared" si="9"/>
        <v>1.35</v>
      </c>
      <c r="T43" s="160">
        <f t="shared" si="10"/>
        <v>1</v>
      </c>
      <c r="U43" s="160">
        <f t="shared" si="11"/>
        <v>1.35</v>
      </c>
      <c r="V43" s="190">
        <f t="shared" si="12"/>
        <v>44.381925</v>
      </c>
      <c r="W43" s="177">
        <f t="shared" ref="W43:X43" si="39">C43/100</f>
        <v>1.05</v>
      </c>
      <c r="X43" s="177">
        <f t="shared" si="39"/>
        <v>2.02</v>
      </c>
      <c r="Y43" s="177">
        <f t="shared" si="14"/>
        <v>1.35</v>
      </c>
      <c r="Z43" s="191">
        <f t="shared" si="15"/>
        <v>2.86335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24.0</v>
      </c>
      <c r="B44" s="192" t="s">
        <v>79</v>
      </c>
      <c r="C44" s="192">
        <v>73.0</v>
      </c>
      <c r="D44" s="192">
        <v>202.0</v>
      </c>
      <c r="E44" s="192">
        <v>199.0</v>
      </c>
      <c r="F44" s="192">
        <f t="shared" si="5"/>
        <v>0</v>
      </c>
      <c r="G44" s="192">
        <f t="shared" si="6"/>
        <v>45.484037</v>
      </c>
      <c r="H44" s="193">
        <f t="shared" si="7"/>
        <v>45.484037</v>
      </c>
      <c r="I44" s="192">
        <v>1.0</v>
      </c>
      <c r="J44" s="194">
        <f t="shared" si="8"/>
        <v>45.484037</v>
      </c>
      <c r="K44" s="139"/>
      <c r="L44" s="177">
        <f t="shared" si="17"/>
        <v>5.1308</v>
      </c>
      <c r="M44" s="160">
        <f t="shared" si="18"/>
        <v>1</v>
      </c>
      <c r="N44" s="160">
        <f t="shared" si="19"/>
        <v>5.1308</v>
      </c>
      <c r="O44" s="139"/>
      <c r="P44" s="139"/>
      <c r="Q44" s="177"/>
      <c r="R44" s="189">
        <v>15.5</v>
      </c>
      <c r="S44" s="177">
        <f t="shared" si="9"/>
        <v>1.99</v>
      </c>
      <c r="T44" s="160">
        <f t="shared" si="10"/>
        <v>1</v>
      </c>
      <c r="U44" s="160">
        <f t="shared" si="11"/>
        <v>1.99</v>
      </c>
      <c r="V44" s="190">
        <f t="shared" si="12"/>
        <v>45.484037</v>
      </c>
      <c r="W44" s="177">
        <f t="shared" ref="W44:X44" si="40">C44/100</f>
        <v>0.73</v>
      </c>
      <c r="X44" s="177">
        <f t="shared" si="40"/>
        <v>2.02</v>
      </c>
      <c r="Y44" s="177">
        <f t="shared" si="14"/>
        <v>1.99</v>
      </c>
      <c r="Z44" s="191">
        <f t="shared" si="15"/>
        <v>2.934454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25.0</v>
      </c>
      <c r="B45" s="192" t="s">
        <v>79</v>
      </c>
      <c r="C45" s="192">
        <v>108.0</v>
      </c>
      <c r="D45" s="192">
        <v>223.0</v>
      </c>
      <c r="E45" s="192">
        <v>2855.0</v>
      </c>
      <c r="F45" s="192">
        <f t="shared" si="5"/>
        <v>0</v>
      </c>
      <c r="G45" s="192">
        <f t="shared" si="6"/>
        <v>1065.77721</v>
      </c>
      <c r="H45" s="193">
        <f t="shared" si="7"/>
        <v>1065.77721</v>
      </c>
      <c r="I45" s="192">
        <v>1.0</v>
      </c>
      <c r="J45" s="194">
        <f t="shared" si="8"/>
        <v>1065.77721</v>
      </c>
      <c r="K45" s="139"/>
      <c r="L45" s="177">
        <f t="shared" si="17"/>
        <v>5.6642</v>
      </c>
      <c r="M45" s="160">
        <f t="shared" si="18"/>
        <v>1</v>
      </c>
      <c r="N45" s="160">
        <f t="shared" si="19"/>
        <v>5.6642</v>
      </c>
      <c r="O45" s="139"/>
      <c r="P45" s="139"/>
      <c r="Q45" s="177">
        <v>1075.0</v>
      </c>
      <c r="R45" s="189">
        <v>15.5</v>
      </c>
      <c r="S45" s="177">
        <f t="shared" si="9"/>
        <v>28.55</v>
      </c>
      <c r="T45" s="160">
        <f t="shared" si="10"/>
        <v>1</v>
      </c>
      <c r="U45" s="160">
        <f t="shared" si="11"/>
        <v>28.55</v>
      </c>
      <c r="V45" s="190">
        <f t="shared" si="12"/>
        <v>1065.77721</v>
      </c>
      <c r="W45" s="177">
        <f t="shared" ref="W45:X45" si="41">C45/100</f>
        <v>1.08</v>
      </c>
      <c r="X45" s="177">
        <f t="shared" si="41"/>
        <v>2.23</v>
      </c>
      <c r="Y45" s="177">
        <f t="shared" si="14"/>
        <v>28.55</v>
      </c>
      <c r="Z45" s="191">
        <f t="shared" si="15"/>
        <v>68.75982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26.0</v>
      </c>
      <c r="B46" s="192" t="s">
        <v>79</v>
      </c>
      <c r="C46" s="192">
        <v>112.0</v>
      </c>
      <c r="D46" s="192">
        <v>223.0</v>
      </c>
      <c r="E46" s="192">
        <v>2867.0</v>
      </c>
      <c r="F46" s="192">
        <f t="shared" si="5"/>
        <v>0</v>
      </c>
      <c r="G46" s="192">
        <f t="shared" si="6"/>
        <v>1109.895976</v>
      </c>
      <c r="H46" s="193">
        <f t="shared" si="7"/>
        <v>1109.895976</v>
      </c>
      <c r="I46" s="192">
        <v>1.0</v>
      </c>
      <c r="J46" s="194">
        <f t="shared" si="8"/>
        <v>1109.895976</v>
      </c>
      <c r="K46" s="139"/>
      <c r="L46" s="195"/>
      <c r="M46" s="196">
        <f t="shared" si="18"/>
        <v>1</v>
      </c>
      <c r="N46" s="196"/>
      <c r="O46" s="139"/>
      <c r="P46" s="139"/>
      <c r="Q46" s="177">
        <v>1070.0</v>
      </c>
      <c r="R46" s="189">
        <v>15.5</v>
      </c>
      <c r="S46" s="177">
        <f t="shared" si="9"/>
        <v>28.67</v>
      </c>
      <c r="T46" s="160">
        <f t="shared" si="10"/>
        <v>1</v>
      </c>
      <c r="U46" s="160">
        <f t="shared" si="11"/>
        <v>28.67</v>
      </c>
      <c r="V46" s="190">
        <f t="shared" si="12"/>
        <v>1109.895976</v>
      </c>
      <c r="W46" s="177">
        <f t="shared" ref="W46:X46" si="42">C46/100</f>
        <v>1.12</v>
      </c>
      <c r="X46" s="177">
        <f t="shared" si="42"/>
        <v>2.23</v>
      </c>
      <c r="Y46" s="177">
        <f t="shared" si="14"/>
        <v>28.67</v>
      </c>
      <c r="Z46" s="191">
        <f t="shared" si="15"/>
        <v>71.606192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51.0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43">C47/100</f>
        <v>0</v>
      </c>
      <c r="X47" s="177">
        <f t="shared" si="43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52.0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44">C48/100</f>
        <v>0</v>
      </c>
      <c r="X48" s="177">
        <f t="shared" si="44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53.0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45">C49/100</f>
        <v>0</v>
      </c>
      <c r="X49" s="177">
        <f t="shared" si="45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54.0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46">C50/100</f>
        <v>0</v>
      </c>
      <c r="X50" s="177">
        <f t="shared" si="46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55.0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47">C51/100</f>
        <v>0</v>
      </c>
      <c r="X51" s="177">
        <f t="shared" si="47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56.0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8">C52/100</f>
        <v>0</v>
      </c>
      <c r="X52" s="177">
        <f t="shared" si="48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57.0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9">C53/100</f>
        <v>0</v>
      </c>
      <c r="X53" s="177">
        <f t="shared" si="4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58.0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50">C54/100</f>
        <v>0</v>
      </c>
      <c r="X54" s="177">
        <f t="shared" si="5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59.0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51">C55/100</f>
        <v>0</v>
      </c>
      <c r="X55" s="177">
        <f t="shared" si="5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60.0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77">
        <f t="shared" ref="L56:L57" si="53">D56*25.4/1000</f>
        <v>0</v>
      </c>
      <c r="M56" s="160" t="str">
        <f t="shared" ref="M56:M71" si="54">+I56</f>
        <v/>
      </c>
      <c r="N56" s="160">
        <f t="shared" ref="N56:N57" si="55">M56*L56</f>
        <v>0</v>
      </c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52">C56/100</f>
        <v>0</v>
      </c>
      <c r="X56" s="177">
        <f t="shared" si="5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>
        <f t="shared" si="53"/>
        <v>0</v>
      </c>
      <c r="M57" s="196" t="str">
        <f t="shared" si="54"/>
        <v/>
      </c>
      <c r="N57" s="196">
        <f t="shared" si="55"/>
        <v>0</v>
      </c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56">C57/100</f>
        <v>0</v>
      </c>
      <c r="X57" s="177">
        <f t="shared" si="56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54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57">C58/100</f>
        <v>0</v>
      </c>
      <c r="X58" s="177">
        <f t="shared" si="57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54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8">C59/100</f>
        <v>0</v>
      </c>
      <c r="X59" s="177">
        <f t="shared" si="58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54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9">C60/100</f>
        <v>0</v>
      </c>
      <c r="X60" s="177">
        <f t="shared" si="59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54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60">C61/100</f>
        <v>0</v>
      </c>
      <c r="X61" s="177">
        <f t="shared" si="60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54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61">C62/100</f>
        <v>0</v>
      </c>
      <c r="X62" s="177">
        <f t="shared" si="61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54"/>
        <v/>
      </c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62">C63/100</f>
        <v>0</v>
      </c>
      <c r="X63" s="177">
        <f t="shared" si="6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4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63">C64/100</f>
        <v>0</v>
      </c>
      <c r="X64" s="177">
        <f t="shared" si="6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4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64">C65/100</f>
        <v>0</v>
      </c>
      <c r="X65" s="177">
        <f t="shared" si="6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4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65">C66/100</f>
        <v>0</v>
      </c>
      <c r="X66" s="177">
        <f t="shared" si="6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4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66">C67/100</f>
        <v>0</v>
      </c>
      <c r="X67" s="177">
        <f t="shared" si="6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4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67">C68/100</f>
        <v>0</v>
      </c>
      <c r="X68" s="197">
        <f t="shared" si="67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4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8">C69/100</f>
        <v>0</v>
      </c>
      <c r="X69" s="197">
        <f t="shared" si="68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4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9">C70/100</f>
        <v>0</v>
      </c>
      <c r="X70" s="197">
        <f t="shared" si="69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4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70">C71/100</f>
        <v>0</v>
      </c>
      <c r="X71" s="197">
        <f t="shared" si="70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71">C72/100</f>
        <v>0</v>
      </c>
      <c r="X72" s="197">
        <f t="shared" si="71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72">C73/100</f>
        <v>0</v>
      </c>
      <c r="X73" s="197">
        <f t="shared" si="72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73">C74/100</f>
        <v>0</v>
      </c>
      <c r="X74" s="197">
        <f t="shared" si="7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74">C75/100</f>
        <v>0</v>
      </c>
      <c r="X75" s="197">
        <f t="shared" si="7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75">C76/100</f>
        <v>0</v>
      </c>
      <c r="X76" s="197">
        <f t="shared" si="7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76">C77/100</f>
        <v>0</v>
      </c>
      <c r="X77" s="197">
        <f t="shared" si="7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7">C78/100</f>
        <v>0</v>
      </c>
      <c r="X78" s="197">
        <f t="shared" si="7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8">C79/100</f>
        <v>0</v>
      </c>
      <c r="X79" s="197">
        <f t="shared" si="7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9">C80/100</f>
        <v>0</v>
      </c>
      <c r="X80" s="197">
        <f t="shared" si="7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80">C81/100</f>
        <v>0</v>
      </c>
      <c r="X81" s="197">
        <f t="shared" si="8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81">C82/100</f>
        <v>0</v>
      </c>
      <c r="X82" s="197">
        <f t="shared" si="8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82">C83/100</f>
        <v>0</v>
      </c>
      <c r="X83" s="197">
        <f t="shared" si="8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83">C84/100</f>
        <v>0</v>
      </c>
      <c r="X84" s="197">
        <f t="shared" si="8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84">C85/100</f>
        <v>0</v>
      </c>
      <c r="X85" s="197">
        <f t="shared" si="8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85">C86/100</f>
        <v>0</v>
      </c>
      <c r="X86" s="197">
        <f t="shared" si="8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86">C87/100</f>
        <v>0</v>
      </c>
      <c r="X87" s="197">
        <f t="shared" si="8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7">C88/100</f>
        <v>0</v>
      </c>
      <c r="X88" s="197">
        <f t="shared" si="8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8">C89/100</f>
        <v>0</v>
      </c>
      <c r="X89" s="197">
        <f t="shared" si="8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9">C90/100</f>
        <v>0</v>
      </c>
      <c r="X90" s="197">
        <f t="shared" si="8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90">C91/100</f>
        <v>0</v>
      </c>
      <c r="X91" s="197">
        <f t="shared" si="9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91">C92/100</f>
        <v>0</v>
      </c>
      <c r="X92" s="197">
        <f t="shared" si="9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92">C93/100</f>
        <v>0</v>
      </c>
      <c r="X93" s="197">
        <f t="shared" si="9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93">C94/100</f>
        <v>0</v>
      </c>
      <c r="X94" s="197">
        <f t="shared" si="9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94">C95/100</f>
        <v>0</v>
      </c>
      <c r="X95" s="197">
        <f t="shared" si="9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95">C96/100</f>
        <v>0</v>
      </c>
      <c r="X96" s="197">
        <f t="shared" si="9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96">C97/100</f>
        <v>0</v>
      </c>
      <c r="X97" s="197">
        <f t="shared" si="9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7">C98/100</f>
        <v>0</v>
      </c>
      <c r="X98" s="197">
        <f t="shared" si="9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8">C99/100</f>
        <v>0</v>
      </c>
      <c r="X99" s="197">
        <f t="shared" si="9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9">C100/100</f>
        <v>0</v>
      </c>
      <c r="X100" s="197">
        <f t="shared" si="9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100">C101/100</f>
        <v>0</v>
      </c>
      <c r="X101" s="197">
        <f t="shared" si="10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101">C102/100</f>
        <v>0</v>
      </c>
      <c r="X102" s="197">
        <f t="shared" si="10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102">C103/100</f>
        <v>0</v>
      </c>
      <c r="X103" s="197">
        <f t="shared" si="10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103">C104/100</f>
        <v>0</v>
      </c>
      <c r="X104" s="197">
        <f t="shared" si="10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104">C105/100</f>
        <v>0</v>
      </c>
      <c r="X105" s="197">
        <f t="shared" si="10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105">C106/100</f>
        <v>0</v>
      </c>
      <c r="X106" s="197">
        <f t="shared" si="10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106">C107/100</f>
        <v>0</v>
      </c>
      <c r="X107" s="197">
        <f t="shared" si="10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7">C108/100</f>
        <v>0</v>
      </c>
      <c r="X108" s="197">
        <f t="shared" si="10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8">C109/100</f>
        <v>0</v>
      </c>
      <c r="X109" s="197">
        <f t="shared" si="10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9">C110/100</f>
        <v>0</v>
      </c>
      <c r="X110" s="197">
        <f t="shared" si="10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10">C111/100</f>
        <v>0</v>
      </c>
      <c r="X111" s="197">
        <f t="shared" si="11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11">C112/100</f>
        <v>0</v>
      </c>
      <c r="X112" s="197">
        <f t="shared" si="11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12">C113/100</f>
        <v>0</v>
      </c>
      <c r="X113" s="197">
        <f t="shared" si="11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13">C114/100</f>
        <v>0</v>
      </c>
      <c r="X114" s="197">
        <f t="shared" si="11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14">C115/100</f>
        <v>0</v>
      </c>
      <c r="X115" s="197">
        <f t="shared" si="11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15">C116/100</f>
        <v>0</v>
      </c>
      <c r="X116" s="197">
        <f t="shared" si="11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16">C117/100</f>
        <v>0</v>
      </c>
      <c r="X117" s="197">
        <f t="shared" si="11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7">C118/100</f>
        <v>0</v>
      </c>
      <c r="X118" s="197">
        <f t="shared" si="11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8">C119/100</f>
        <v>0</v>
      </c>
      <c r="X119" s="197">
        <f t="shared" si="11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9">C120/100</f>
        <v>0</v>
      </c>
      <c r="X120" s="197">
        <f t="shared" si="11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20">C121/100</f>
        <v>0</v>
      </c>
      <c r="X121" s="197">
        <f t="shared" si="12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21">C122/100</f>
        <v>0</v>
      </c>
      <c r="X122" s="197">
        <f t="shared" si="12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22">C123/100</f>
        <v>0</v>
      </c>
      <c r="X123" s="197">
        <f t="shared" si="12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23">C124/100</f>
        <v>0</v>
      </c>
      <c r="X124" s="197">
        <f t="shared" si="12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24">C125/100</f>
        <v>0</v>
      </c>
      <c r="X125" s="197">
        <f t="shared" si="12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25">C126/100</f>
        <v>0</v>
      </c>
      <c r="X126" s="197">
        <f t="shared" si="12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26">C127/100</f>
        <v>0</v>
      </c>
      <c r="X127" s="197">
        <f t="shared" si="12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7">C128/100</f>
        <v>0</v>
      </c>
      <c r="X128" s="197">
        <f t="shared" si="12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8">C129/100</f>
        <v>0</v>
      </c>
      <c r="X129" s="197">
        <f t="shared" si="12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9">C130/100</f>
        <v>0</v>
      </c>
      <c r="X130" s="197">
        <f t="shared" si="12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30">C131/100</f>
        <v>0</v>
      </c>
      <c r="X131" s="197">
        <f t="shared" si="13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31">C132/100</f>
        <v>0</v>
      </c>
      <c r="X132" s="197">
        <f t="shared" si="13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32">C133/100</f>
        <v>0</v>
      </c>
      <c r="X133" s="197">
        <f t="shared" si="13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33">C134/100</f>
        <v>0</v>
      </c>
      <c r="X134" s="197">
        <f t="shared" si="13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34">C135/100</f>
        <v>0</v>
      </c>
      <c r="X135" s="197">
        <f t="shared" si="13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35">C136/100</f>
        <v>0</v>
      </c>
      <c r="X136" s="197">
        <f t="shared" si="13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36">C137/100</f>
        <v>0</v>
      </c>
      <c r="X137" s="197">
        <f t="shared" si="13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7">C138/100</f>
        <v>0</v>
      </c>
      <c r="X138" s="197">
        <f t="shared" si="13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8">C139/100</f>
        <v>0</v>
      </c>
      <c r="X139" s="197">
        <f t="shared" si="13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9">C140/100</f>
        <v>0</v>
      </c>
      <c r="X140" s="197">
        <f t="shared" si="13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40">C141/100</f>
        <v>0</v>
      </c>
      <c r="X141" s="197">
        <f t="shared" si="14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41">C142/100</f>
        <v>0</v>
      </c>
      <c r="X142" s="197">
        <f t="shared" si="14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42">C143/100</f>
        <v>0</v>
      </c>
      <c r="X143" s="197">
        <f t="shared" si="14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43">C144/100</f>
        <v>0</v>
      </c>
      <c r="X144" s="197">
        <f t="shared" si="14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44">C145/100</f>
        <v>0</v>
      </c>
      <c r="X145" s="197">
        <f t="shared" si="14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45">C146/100</f>
        <v>0</v>
      </c>
      <c r="X146" s="197">
        <f t="shared" si="14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46">C147/100</f>
        <v>0</v>
      </c>
      <c r="X147" s="197">
        <f t="shared" si="14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7">C148/100</f>
        <v>0</v>
      </c>
      <c r="X148" s="197">
        <f t="shared" si="14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8">C149/100</f>
        <v>0</v>
      </c>
      <c r="X149" s="197">
        <f t="shared" si="14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9">C150/100</f>
        <v>0</v>
      </c>
      <c r="X150" s="197">
        <f t="shared" si="14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50">C151/100</f>
        <v>0</v>
      </c>
      <c r="X151" s="197">
        <f t="shared" si="15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51">C152/100</f>
        <v>0</v>
      </c>
      <c r="X152" s="197">
        <f t="shared" si="15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52">C153/100</f>
        <v>0</v>
      </c>
      <c r="X153" s="197">
        <f t="shared" si="15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53">C154/100</f>
        <v>0</v>
      </c>
      <c r="X154" s="197">
        <f t="shared" si="15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54">C155/100</f>
        <v>0</v>
      </c>
      <c r="X155" s="197">
        <f t="shared" si="15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55">C156/100</f>
        <v>0</v>
      </c>
      <c r="X156" s="197">
        <f t="shared" si="15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56">C157/100</f>
        <v>0</v>
      </c>
      <c r="X157" s="197">
        <f t="shared" si="15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7">C158/100</f>
        <v>0</v>
      </c>
      <c r="X158" s="197">
        <f t="shared" si="15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8">C159/100</f>
        <v>0</v>
      </c>
      <c r="X159" s="197">
        <f t="shared" si="15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9">C160/100</f>
        <v>0</v>
      </c>
      <c r="X160" s="197">
        <f t="shared" si="15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60">C161/100</f>
        <v>0</v>
      </c>
      <c r="X161" s="197">
        <f t="shared" si="16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61">C162/100</f>
        <v>0</v>
      </c>
      <c r="X162" s="197">
        <f t="shared" si="16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62">C163/100</f>
        <v>0</v>
      </c>
      <c r="X163" s="197">
        <f t="shared" si="16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63">C164/100</f>
        <v>0</v>
      </c>
      <c r="X164" s="197">
        <f t="shared" si="16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64">C165/100</f>
        <v>0</v>
      </c>
      <c r="X165" s="197">
        <f t="shared" si="16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65">C166/100</f>
        <v>0</v>
      </c>
      <c r="X166" s="197">
        <f t="shared" si="16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66">C167/100</f>
        <v>0</v>
      </c>
      <c r="X167" s="197">
        <f t="shared" si="16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7">C168/100</f>
        <v>0</v>
      </c>
      <c r="X168" s="197">
        <f t="shared" si="16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8">C169/100</f>
        <v>0</v>
      </c>
      <c r="X169" s="197">
        <f t="shared" si="16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9">C170/100</f>
        <v>0</v>
      </c>
      <c r="X170" s="197">
        <f t="shared" si="16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70">C171/100</f>
        <v>0</v>
      </c>
      <c r="X171" s="197">
        <f t="shared" si="17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71">C172/100</f>
        <v>0</v>
      </c>
      <c r="X172" s="197">
        <f t="shared" si="17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72">C173/100</f>
        <v>0</v>
      </c>
      <c r="X173" s="197">
        <f t="shared" si="17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73">C174/100</f>
        <v>0</v>
      </c>
      <c r="X174" s="197">
        <f t="shared" si="17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74">C175/100</f>
        <v>0</v>
      </c>
      <c r="X175" s="197">
        <f t="shared" si="17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75">C176/100</f>
        <v>0</v>
      </c>
      <c r="X176" s="197">
        <f t="shared" si="17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76">C177/100</f>
        <v>0</v>
      </c>
      <c r="X177" s="197">
        <f t="shared" si="17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7">C178/100</f>
        <v>0</v>
      </c>
      <c r="X178" s="197">
        <f t="shared" si="17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8">C179/100</f>
        <v>0</v>
      </c>
      <c r="X179" s="197">
        <f t="shared" si="17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9">C180/100</f>
        <v>0</v>
      </c>
      <c r="X180" s="197">
        <f t="shared" si="17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80">C181/100</f>
        <v>0</v>
      </c>
      <c r="X181" s="197">
        <f t="shared" si="18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81">C182/100</f>
        <v>0</v>
      </c>
      <c r="X182" s="197">
        <f t="shared" si="18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82">C183/100</f>
        <v>0</v>
      </c>
      <c r="X183" s="197">
        <f t="shared" si="18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83">C184/100</f>
        <v>0</v>
      </c>
      <c r="X184" s="197">
        <f t="shared" si="18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84">C185/100</f>
        <v>0</v>
      </c>
      <c r="X185" s="197">
        <f t="shared" si="18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85">C186/100</f>
        <v>0</v>
      </c>
      <c r="X186" s="197">
        <f t="shared" si="18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86">C187/100</f>
        <v>0</v>
      </c>
      <c r="X187" s="197">
        <f t="shared" si="18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7">C188/100</f>
        <v>0</v>
      </c>
      <c r="X188" s="197">
        <f t="shared" si="18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8">C189/100</f>
        <v>0</v>
      </c>
      <c r="X189" s="197">
        <f t="shared" si="18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9">C190/100</f>
        <v>0</v>
      </c>
      <c r="X190" s="197">
        <f t="shared" si="18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90">C191/100</f>
        <v>0</v>
      </c>
      <c r="X191" s="197">
        <f t="shared" si="19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91">C192/100</f>
        <v>0</v>
      </c>
      <c r="X192" s="197">
        <f t="shared" si="19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92">C193/100</f>
        <v>0</v>
      </c>
      <c r="X193" s="197">
        <f t="shared" si="19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93">C194/100</f>
        <v>0</v>
      </c>
      <c r="X194" s="197">
        <f t="shared" si="19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94">C195/100</f>
        <v>0</v>
      </c>
      <c r="X195" s="197">
        <f t="shared" si="19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95">C196/100</f>
        <v>0</v>
      </c>
      <c r="X196" s="197">
        <f t="shared" si="19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96">C197/100</f>
        <v>0</v>
      </c>
      <c r="X197" s="197">
        <f t="shared" si="19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7">C198/100</f>
        <v>0</v>
      </c>
      <c r="X198" s="197">
        <f t="shared" si="19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8">C199/100</f>
        <v>0</v>
      </c>
      <c r="X199" s="197">
        <f t="shared" si="19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9">C200/100</f>
        <v>0</v>
      </c>
      <c r="X200" s="197">
        <f t="shared" si="19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200">C201/100</f>
        <v>0</v>
      </c>
      <c r="X201" s="197">
        <f t="shared" si="20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201">C202/100</f>
        <v>0</v>
      </c>
      <c r="X202" s="197">
        <f t="shared" si="20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202">C203/100</f>
        <v>0</v>
      </c>
      <c r="X203" s="197">
        <f t="shared" si="20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203">C204/100</f>
        <v>0</v>
      </c>
      <c r="X204" s="197">
        <f t="shared" si="20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204">C205/100</f>
        <v>0</v>
      </c>
      <c r="X205" s="197">
        <f t="shared" si="20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205">C206/100</f>
        <v>0</v>
      </c>
      <c r="X206" s="197">
        <f t="shared" si="20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206">C207/100</f>
        <v>0</v>
      </c>
      <c r="X207" s="197">
        <f t="shared" si="20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7">C208/100</f>
        <v>0</v>
      </c>
      <c r="X208" s="197">
        <f t="shared" si="20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8">C209/100</f>
        <v>0</v>
      </c>
      <c r="X209" s="197">
        <f t="shared" si="20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9">C210/100</f>
        <v>0</v>
      </c>
      <c r="X210" s="197">
        <f t="shared" si="20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10">C211/100</f>
        <v>0</v>
      </c>
      <c r="X211" s="197">
        <f t="shared" si="21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11">C212/100</f>
        <v>0</v>
      </c>
      <c r="X212" s="197">
        <f t="shared" si="21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12">C213/100</f>
        <v>0</v>
      </c>
      <c r="X213" s="197">
        <f t="shared" si="21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177"/>
      <c r="C214" s="177"/>
      <c r="D214" s="177"/>
      <c r="E214" s="177"/>
      <c r="F214" s="177"/>
      <c r="G214" s="177"/>
      <c r="H214" s="180"/>
      <c r="I214" s="160"/>
      <c r="J214" s="202">
        <f>+Q255</f>
        <v>139.2</v>
      </c>
      <c r="K214" s="139"/>
      <c r="L214" s="139"/>
      <c r="M214" s="139"/>
      <c r="N214" s="139"/>
      <c r="O214" s="139"/>
      <c r="P214" s="139"/>
      <c r="Q214" s="139"/>
      <c r="R214" s="203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13">C214/100</f>
        <v>0</v>
      </c>
      <c r="X214" s="197">
        <f t="shared" si="21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204"/>
      <c r="C215" s="204"/>
      <c r="D215" s="204"/>
      <c r="E215" s="204"/>
      <c r="F215" s="204"/>
      <c r="G215" s="204"/>
      <c r="H215" s="205"/>
      <c r="I215" s="206">
        <f>SUM(I21:I213)</f>
        <v>26</v>
      </c>
      <c r="J215" s="207">
        <f>SUM(J21:J214)</f>
        <v>14815.61189</v>
      </c>
      <c r="K215" s="208"/>
      <c r="L215" s="208"/>
      <c r="M215" s="208"/>
      <c r="N215" s="208"/>
      <c r="O215" s="208"/>
      <c r="P215" s="208"/>
      <c r="Q215" s="208"/>
      <c r="R215" s="141"/>
      <c r="S215" s="208">
        <f>SUMIFS($T$21:$T$213,$S$21:$S$213,"&gt;=3")</f>
        <v>10</v>
      </c>
      <c r="T215" s="208">
        <f t="shared" ref="T215:U215" si="214">SUM(T21:T213)</f>
        <v>26</v>
      </c>
      <c r="U215" s="208">
        <f t="shared" si="214"/>
        <v>300.66</v>
      </c>
      <c r="V215" s="208"/>
      <c r="W215" s="208"/>
      <c r="X215" s="208"/>
      <c r="Y215" s="208"/>
      <c r="Z215" s="209">
        <f>SUM(Z21:Z214)</f>
        <v>639.21709</v>
      </c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  <c r="AM215" s="208"/>
      <c r="AN215" s="208"/>
      <c r="AO215" s="208"/>
      <c r="AP215" s="208"/>
      <c r="AQ215" s="208"/>
      <c r="AR215" s="208"/>
      <c r="AS215" s="208"/>
      <c r="AT215" s="208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41"/>
      <c r="S216" s="201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03"/>
      <c r="S217" s="139"/>
      <c r="T217" s="139" t="s">
        <v>48</v>
      </c>
      <c r="U217" s="139" t="s">
        <v>59</v>
      </c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31</v>
      </c>
      <c r="T218" s="210">
        <f>SUMIFS($J$21:$J$213,$S$21:$S$213,"&gt;=3")</f>
        <v>13461.16504</v>
      </c>
      <c r="U218" s="211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 t="s">
        <v>32</v>
      </c>
      <c r="B219" s="139"/>
      <c r="C219" s="139"/>
      <c r="D219" s="139" t="s">
        <v>33</v>
      </c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34</v>
      </c>
      <c r="T219" s="212">
        <f>J215-T218</f>
        <v>1354.446853</v>
      </c>
      <c r="U219" s="211">
        <f>+SUMIFS($U$21:$U$213,$S$21:$S$213,"&gt;=3")</f>
        <v>272.22</v>
      </c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3"/>
      <c r="S220" s="139"/>
      <c r="T220" s="213">
        <f>+I215</f>
        <v>26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39.0" customHeight="1">
      <c r="A221" s="177"/>
      <c r="B221" s="160" t="s">
        <v>12</v>
      </c>
      <c r="C221" s="178" t="s">
        <v>60</v>
      </c>
      <c r="D221" s="52"/>
      <c r="E221" s="53"/>
      <c r="F221" s="179"/>
      <c r="G221" s="179"/>
      <c r="H221" s="180" t="s">
        <v>14</v>
      </c>
      <c r="I221" s="160" t="s">
        <v>15</v>
      </c>
      <c r="J221" s="160" t="s">
        <v>16</v>
      </c>
      <c r="K221" s="139"/>
      <c r="L221" s="139"/>
      <c r="M221" s="139"/>
      <c r="N221" s="139"/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1.0</v>
      </c>
      <c r="B222" s="214"/>
      <c r="C222" s="214"/>
      <c r="D222" s="214"/>
      <c r="E222" s="214"/>
      <c r="F222" s="214">
        <f t="shared" ref="F222:F235" si="215">1-VALUE(IF(RIGHT(B222, 1)="%", RIGHT(B222, 3), 0))</f>
        <v>1</v>
      </c>
      <c r="G222" s="214">
        <f t="shared" ref="G222:G235" si="216">+Q222*C222/100*D222/100*E222/100</f>
        <v>0</v>
      </c>
      <c r="H222" s="215">
        <f t="shared" ref="H222:H235" si="217">IF(F222=0, G222, F222*G222)</f>
        <v>0</v>
      </c>
      <c r="I222" s="214"/>
      <c r="J222" s="216"/>
      <c r="K222" s="139"/>
      <c r="L222" s="177">
        <f t="shared" ref="L222:L230" si="218">D222*25.4/1000</f>
        <v>0</v>
      </c>
      <c r="M222" s="160" t="str">
        <f t="shared" ref="M222:M226" si="219">+I222</f>
        <v/>
      </c>
      <c r="N222" s="160">
        <f t="shared" ref="N222:N226" si="220">M222*L222</f>
        <v>0</v>
      </c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2.0</v>
      </c>
      <c r="B223" s="214"/>
      <c r="C223" s="214"/>
      <c r="D223" s="214"/>
      <c r="E223" s="214"/>
      <c r="F223" s="214">
        <f t="shared" si="215"/>
        <v>1</v>
      </c>
      <c r="G223" s="214">
        <f t="shared" si="216"/>
        <v>0</v>
      </c>
      <c r="H223" s="215">
        <f t="shared" si="217"/>
        <v>0</v>
      </c>
      <c r="I223" s="214"/>
      <c r="J223" s="216">
        <f t="shared" ref="J223:J235" si="221">+I223*H223</f>
        <v>0</v>
      </c>
      <c r="K223" s="139"/>
      <c r="L223" s="177">
        <f t="shared" si="218"/>
        <v>0</v>
      </c>
      <c r="M223" s="160" t="str">
        <f t="shared" si="219"/>
        <v/>
      </c>
      <c r="N223" s="160">
        <f t="shared" si="220"/>
        <v>0</v>
      </c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3.0</v>
      </c>
      <c r="B224" s="217"/>
      <c r="C224" s="217"/>
      <c r="D224" s="217"/>
      <c r="E224" s="217"/>
      <c r="F224" s="217">
        <f t="shared" si="215"/>
        <v>1</v>
      </c>
      <c r="G224" s="217">
        <f t="shared" si="216"/>
        <v>0</v>
      </c>
      <c r="H224" s="218">
        <f t="shared" si="217"/>
        <v>0</v>
      </c>
      <c r="I224" s="217"/>
      <c r="J224" s="194">
        <f t="shared" si="221"/>
        <v>0</v>
      </c>
      <c r="K224" s="139"/>
      <c r="L224" s="177">
        <f t="shared" si="218"/>
        <v>0</v>
      </c>
      <c r="M224" s="160" t="str">
        <f t="shared" si="219"/>
        <v/>
      </c>
      <c r="N224" s="160">
        <f t="shared" si="220"/>
        <v>0</v>
      </c>
      <c r="O224" s="139"/>
      <c r="P224" s="139"/>
      <c r="Q224" s="139"/>
      <c r="R224" s="139"/>
      <c r="S224" s="21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4.0</v>
      </c>
      <c r="B225" s="217"/>
      <c r="C225" s="217"/>
      <c r="D225" s="217"/>
      <c r="E225" s="217"/>
      <c r="F225" s="217">
        <f t="shared" si="215"/>
        <v>1</v>
      </c>
      <c r="G225" s="217">
        <f t="shared" si="216"/>
        <v>0</v>
      </c>
      <c r="H225" s="218">
        <f t="shared" si="217"/>
        <v>0</v>
      </c>
      <c r="I225" s="217"/>
      <c r="J225" s="194">
        <f t="shared" si="221"/>
        <v>0</v>
      </c>
      <c r="K225" s="139"/>
      <c r="L225" s="177">
        <f t="shared" si="218"/>
        <v>0</v>
      </c>
      <c r="M225" s="160" t="str">
        <f t="shared" si="219"/>
        <v/>
      </c>
      <c r="N225" s="160">
        <f t="shared" si="220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5.0</v>
      </c>
      <c r="B226" s="217"/>
      <c r="C226" s="217"/>
      <c r="D226" s="217"/>
      <c r="E226" s="217"/>
      <c r="F226" s="217">
        <f t="shared" si="215"/>
        <v>1</v>
      </c>
      <c r="G226" s="217">
        <f t="shared" si="216"/>
        <v>0</v>
      </c>
      <c r="H226" s="218">
        <f t="shared" si="217"/>
        <v>0</v>
      </c>
      <c r="I226" s="217"/>
      <c r="J226" s="194">
        <f t="shared" si="221"/>
        <v>0</v>
      </c>
      <c r="K226" s="139"/>
      <c r="L226" s="177">
        <f t="shared" si="218"/>
        <v>0</v>
      </c>
      <c r="M226" s="160" t="str">
        <f t="shared" si="219"/>
        <v/>
      </c>
      <c r="N226" s="160">
        <f t="shared" si="220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6.0</v>
      </c>
      <c r="B227" s="217"/>
      <c r="C227" s="217"/>
      <c r="D227" s="217"/>
      <c r="E227" s="217"/>
      <c r="F227" s="217">
        <f t="shared" si="215"/>
        <v>1</v>
      </c>
      <c r="G227" s="217">
        <f t="shared" si="216"/>
        <v>0</v>
      </c>
      <c r="H227" s="218">
        <f t="shared" si="217"/>
        <v>0</v>
      </c>
      <c r="I227" s="217"/>
      <c r="J227" s="194">
        <f t="shared" si="221"/>
        <v>0</v>
      </c>
      <c r="K227" s="139"/>
      <c r="L227" s="139">
        <f t="shared" si="218"/>
        <v>0</v>
      </c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7.0</v>
      </c>
      <c r="B228" s="217"/>
      <c r="C228" s="217"/>
      <c r="D228" s="217"/>
      <c r="E228" s="217"/>
      <c r="F228" s="217">
        <f t="shared" si="215"/>
        <v>1</v>
      </c>
      <c r="G228" s="217">
        <f t="shared" si="216"/>
        <v>0</v>
      </c>
      <c r="H228" s="218">
        <f t="shared" si="217"/>
        <v>0</v>
      </c>
      <c r="I228" s="217"/>
      <c r="J228" s="194">
        <f t="shared" si="221"/>
        <v>0</v>
      </c>
      <c r="K228" s="139"/>
      <c r="L228" s="139">
        <f t="shared" si="218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8.0</v>
      </c>
      <c r="B229" s="217"/>
      <c r="C229" s="217"/>
      <c r="D229" s="217"/>
      <c r="E229" s="217"/>
      <c r="F229" s="217">
        <f t="shared" si="215"/>
        <v>1</v>
      </c>
      <c r="G229" s="217">
        <f t="shared" si="216"/>
        <v>0</v>
      </c>
      <c r="H229" s="218">
        <f t="shared" si="217"/>
        <v>0</v>
      </c>
      <c r="I229" s="217"/>
      <c r="J229" s="194">
        <f t="shared" si="221"/>
        <v>0</v>
      </c>
      <c r="K229" s="139"/>
      <c r="L229" s="139">
        <f t="shared" si="218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9.0</v>
      </c>
      <c r="B230" s="217"/>
      <c r="C230" s="217"/>
      <c r="D230" s="217"/>
      <c r="E230" s="217"/>
      <c r="F230" s="217">
        <f t="shared" si="215"/>
        <v>1</v>
      </c>
      <c r="G230" s="217">
        <f t="shared" si="216"/>
        <v>0</v>
      </c>
      <c r="H230" s="218">
        <f t="shared" si="217"/>
        <v>0</v>
      </c>
      <c r="I230" s="217"/>
      <c r="J230" s="194">
        <f t="shared" si="221"/>
        <v>0</v>
      </c>
      <c r="K230" s="139"/>
      <c r="L230" s="139">
        <f t="shared" si="218"/>
        <v>0</v>
      </c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10.0</v>
      </c>
      <c r="B231" s="192"/>
      <c r="C231" s="192"/>
      <c r="D231" s="192"/>
      <c r="E231" s="192"/>
      <c r="F231" s="192">
        <f t="shared" si="215"/>
        <v>1</v>
      </c>
      <c r="G231" s="192">
        <f t="shared" si="216"/>
        <v>0</v>
      </c>
      <c r="H231" s="193">
        <f t="shared" si="217"/>
        <v>0</v>
      </c>
      <c r="I231" s="192"/>
      <c r="J231" s="194">
        <f t="shared" si="221"/>
        <v>0</v>
      </c>
      <c r="K231" s="139"/>
      <c r="L231" s="139"/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11.0</v>
      </c>
      <c r="B232" s="192"/>
      <c r="C232" s="192"/>
      <c r="D232" s="192"/>
      <c r="E232" s="192"/>
      <c r="F232" s="192">
        <f t="shared" si="215"/>
        <v>1</v>
      </c>
      <c r="G232" s="192">
        <f t="shared" si="216"/>
        <v>0</v>
      </c>
      <c r="H232" s="193">
        <f t="shared" si="217"/>
        <v>0</v>
      </c>
      <c r="I232" s="192"/>
      <c r="J232" s="194">
        <f t="shared" si="221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12.0</v>
      </c>
      <c r="B233" s="192"/>
      <c r="C233" s="192"/>
      <c r="D233" s="192"/>
      <c r="E233" s="192"/>
      <c r="F233" s="192">
        <f t="shared" si="215"/>
        <v>1</v>
      </c>
      <c r="G233" s="192">
        <f t="shared" si="216"/>
        <v>0</v>
      </c>
      <c r="H233" s="193">
        <f t="shared" si="217"/>
        <v>0</v>
      </c>
      <c r="I233" s="192"/>
      <c r="J233" s="194">
        <f t="shared" si="221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13.0</v>
      </c>
      <c r="B234" s="192"/>
      <c r="C234" s="192"/>
      <c r="D234" s="192"/>
      <c r="E234" s="192"/>
      <c r="F234" s="192">
        <f t="shared" si="215"/>
        <v>1</v>
      </c>
      <c r="G234" s="192">
        <f t="shared" si="216"/>
        <v>0</v>
      </c>
      <c r="H234" s="193">
        <f t="shared" si="217"/>
        <v>0</v>
      </c>
      <c r="I234" s="192"/>
      <c r="J234" s="194">
        <f t="shared" si="221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14.0</v>
      </c>
      <c r="B235" s="192"/>
      <c r="C235" s="192"/>
      <c r="D235" s="192"/>
      <c r="E235" s="192"/>
      <c r="F235" s="192">
        <f t="shared" si="215"/>
        <v>1</v>
      </c>
      <c r="G235" s="192">
        <f t="shared" si="216"/>
        <v>0</v>
      </c>
      <c r="H235" s="193">
        <f t="shared" si="217"/>
        <v>0</v>
      </c>
      <c r="I235" s="192"/>
      <c r="J235" s="194">
        <f t="shared" si="221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0"/>
      <c r="B236" s="195"/>
      <c r="C236" s="195"/>
      <c r="D236" s="195"/>
      <c r="E236" s="195"/>
      <c r="F236" s="195"/>
      <c r="G236" s="195"/>
      <c r="H236" s="221" t="s">
        <v>38</v>
      </c>
      <c r="I236" s="195"/>
      <c r="J236" s="222">
        <f>SUM(J222:J235)</f>
        <v>0</v>
      </c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74"/>
      <c r="B237" s="144"/>
      <c r="C237" s="144"/>
      <c r="D237" s="144"/>
      <c r="E237" s="144"/>
      <c r="F237" s="144"/>
      <c r="G237" s="144"/>
      <c r="H237" s="145"/>
      <c r="I237" s="144"/>
      <c r="J237" s="175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3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 t="s">
        <v>39</v>
      </c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42.0" customHeight="1">
      <c r="A242" s="177"/>
      <c r="B242" s="160" t="s">
        <v>12</v>
      </c>
      <c r="C242" s="178" t="s">
        <v>61</v>
      </c>
      <c r="D242" s="52"/>
      <c r="E242" s="53"/>
      <c r="F242" s="224"/>
      <c r="G242" s="224"/>
      <c r="H242" s="180" t="s">
        <v>14</v>
      </c>
      <c r="I242" s="225" t="s">
        <v>15</v>
      </c>
      <c r="J242" s="160" t="s">
        <v>16</v>
      </c>
      <c r="K242" s="139"/>
      <c r="L242" s="139"/>
      <c r="M242" s="139"/>
      <c r="N242" s="139"/>
      <c r="O242" s="139"/>
      <c r="P242" s="139"/>
      <c r="Q242" s="139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0">
        <v>1.0</v>
      </c>
      <c r="B243" s="182" t="s">
        <v>77</v>
      </c>
      <c r="C243" s="198"/>
      <c r="D243" s="198"/>
      <c r="E243" s="198"/>
      <c r="F243" s="198"/>
      <c r="G243" s="198"/>
      <c r="H243" s="226">
        <v>49.0</v>
      </c>
      <c r="I243" s="198">
        <v>1.0</v>
      </c>
      <c r="J243" s="194">
        <f t="shared" ref="J243:J253" si="222">+I243*H243</f>
        <v>49</v>
      </c>
      <c r="K243" s="177"/>
      <c r="L243" s="177"/>
      <c r="M243" s="177"/>
      <c r="N243" s="177"/>
      <c r="O243" s="177"/>
      <c r="P243" s="177"/>
      <c r="Q243" s="227"/>
      <c r="R243" s="223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2.0</v>
      </c>
      <c r="B244" s="192" t="s">
        <v>77</v>
      </c>
      <c r="C244" s="198"/>
      <c r="D244" s="198"/>
      <c r="E244" s="198"/>
      <c r="F244" s="198"/>
      <c r="G244" s="198"/>
      <c r="H244" s="226">
        <v>23.0</v>
      </c>
      <c r="I244" s="198">
        <v>1.0</v>
      </c>
      <c r="J244" s="194">
        <f t="shared" si="222"/>
        <v>23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3.0</v>
      </c>
      <c r="B245" s="182" t="s">
        <v>66</v>
      </c>
      <c r="C245" s="198"/>
      <c r="D245" s="198"/>
      <c r="E245" s="198"/>
      <c r="F245" s="198"/>
      <c r="G245" s="198"/>
      <c r="H245" s="226">
        <v>43.0</v>
      </c>
      <c r="I245" s="198">
        <v>1.0</v>
      </c>
      <c r="J245" s="194">
        <f t="shared" si="222"/>
        <v>43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4.0</v>
      </c>
      <c r="B246" s="192" t="s">
        <v>66</v>
      </c>
      <c r="C246" s="198"/>
      <c r="D246" s="198"/>
      <c r="E246" s="198"/>
      <c r="F246" s="198"/>
      <c r="G246" s="198"/>
      <c r="H246" s="226">
        <v>22.0</v>
      </c>
      <c r="I246" s="198">
        <v>1.0</v>
      </c>
      <c r="J246" s="194">
        <f t="shared" si="222"/>
        <v>22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5.0</v>
      </c>
      <c r="B247" s="182" t="s">
        <v>67</v>
      </c>
      <c r="C247" s="198"/>
      <c r="D247" s="198"/>
      <c r="E247" s="198"/>
      <c r="F247" s="198"/>
      <c r="G247" s="198"/>
      <c r="H247" s="226">
        <v>46.0</v>
      </c>
      <c r="I247" s="198">
        <v>1.0</v>
      </c>
      <c r="J247" s="194">
        <f t="shared" si="222"/>
        <v>46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6.0</v>
      </c>
      <c r="B248" s="192" t="s">
        <v>67</v>
      </c>
      <c r="C248" s="198"/>
      <c r="D248" s="198"/>
      <c r="E248" s="198"/>
      <c r="F248" s="198"/>
      <c r="G248" s="198"/>
      <c r="H248" s="226">
        <v>35.0</v>
      </c>
      <c r="I248" s="198">
        <v>1.0</v>
      </c>
      <c r="J248" s="194">
        <f t="shared" si="222"/>
        <v>35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7.0</v>
      </c>
      <c r="B249" s="182" t="s">
        <v>78</v>
      </c>
      <c r="C249" s="198"/>
      <c r="D249" s="198"/>
      <c r="E249" s="198"/>
      <c r="F249" s="198"/>
      <c r="G249" s="198"/>
      <c r="H249" s="226">
        <v>52.0</v>
      </c>
      <c r="I249" s="198">
        <v>1.0</v>
      </c>
      <c r="J249" s="194">
        <f t="shared" si="222"/>
        <v>52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8.0</v>
      </c>
      <c r="B250" s="192" t="s">
        <v>78</v>
      </c>
      <c r="C250" s="198"/>
      <c r="D250" s="198"/>
      <c r="E250" s="198"/>
      <c r="F250" s="198"/>
      <c r="G250" s="198"/>
      <c r="H250" s="226">
        <v>13.0</v>
      </c>
      <c r="I250" s="198">
        <v>1.0</v>
      </c>
      <c r="J250" s="194">
        <f t="shared" si="222"/>
        <v>13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9.0</v>
      </c>
      <c r="B251" s="182" t="s">
        <v>70</v>
      </c>
      <c r="C251" s="198"/>
      <c r="D251" s="198"/>
      <c r="E251" s="198"/>
      <c r="F251" s="198"/>
      <c r="G251" s="198"/>
      <c r="H251" s="226">
        <v>25.0</v>
      </c>
      <c r="I251" s="198">
        <v>1.0</v>
      </c>
      <c r="J251" s="194">
        <f t="shared" si="222"/>
        <v>25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10.0</v>
      </c>
      <c r="B252" s="192" t="s">
        <v>70</v>
      </c>
      <c r="C252" s="198"/>
      <c r="D252" s="198"/>
      <c r="E252" s="198"/>
      <c r="F252" s="198"/>
      <c r="G252" s="198"/>
      <c r="H252" s="226">
        <v>22.0</v>
      </c>
      <c r="I252" s="198">
        <v>1.0</v>
      </c>
      <c r="J252" s="194">
        <f t="shared" si="222"/>
        <v>22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12.0</v>
      </c>
      <c r="B253" s="192" t="s">
        <v>79</v>
      </c>
      <c r="C253" s="198"/>
      <c r="D253" s="198"/>
      <c r="E253" s="198"/>
      <c r="F253" s="198"/>
      <c r="G253" s="198"/>
      <c r="H253" s="226">
        <v>18.0</v>
      </c>
      <c r="I253" s="198">
        <v>1.0</v>
      </c>
      <c r="J253" s="194">
        <f t="shared" si="222"/>
        <v>18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 t="s">
        <v>38</v>
      </c>
      <c r="I254" s="139"/>
      <c r="J254" s="232">
        <f>SUM(J243:J253)</f>
        <v>348</v>
      </c>
      <c r="K254" s="233"/>
      <c r="L254" s="233"/>
      <c r="M254" s="233"/>
      <c r="N254" s="233"/>
      <c r="O254" s="233"/>
      <c r="P254" s="233"/>
      <c r="Q254" s="233"/>
      <c r="R254" s="139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44"/>
      <c r="B255" s="144"/>
      <c r="C255" s="144"/>
      <c r="D255" s="144"/>
      <c r="E255" s="144"/>
      <c r="F255" s="144"/>
      <c r="G255" s="144"/>
      <c r="H255" s="145"/>
      <c r="I255" s="173"/>
      <c r="J255" s="204">
        <f>+J254*60%</f>
        <v>208.8</v>
      </c>
      <c r="K255" s="204"/>
      <c r="L255" s="204"/>
      <c r="M255" s="204"/>
      <c r="N255" s="204"/>
      <c r="O255" s="204"/>
      <c r="P255" s="204"/>
      <c r="Q255" s="204">
        <f>+J254*40%</f>
        <v>139.2</v>
      </c>
      <c r="R255" s="139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9.5" customHeight="1">
      <c r="A258" s="234" t="s">
        <v>41</v>
      </c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57.0" customHeight="1">
      <c r="A259" s="235"/>
      <c r="B259" s="236" t="s">
        <v>42</v>
      </c>
      <c r="C259" s="236" t="s">
        <v>43</v>
      </c>
      <c r="D259" s="236" t="s">
        <v>44</v>
      </c>
      <c r="E259" s="236" t="s">
        <v>45</v>
      </c>
      <c r="F259" s="236"/>
      <c r="G259" s="236"/>
      <c r="H259" s="237" t="s">
        <v>46</v>
      </c>
      <c r="I259" s="238" t="s">
        <v>47</v>
      </c>
      <c r="J259" s="139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239" t="s">
        <v>48</v>
      </c>
      <c r="B260" s="240">
        <f>+E14</f>
        <v>17103.7926</v>
      </c>
      <c r="C260" s="241">
        <f>+J215</f>
        <v>14815.61189</v>
      </c>
      <c r="D260" s="241">
        <f>+J236</f>
        <v>0</v>
      </c>
      <c r="E260" s="242">
        <f>J255</f>
        <v>208.8</v>
      </c>
      <c r="F260" s="242"/>
      <c r="G260" s="242"/>
      <c r="H260" s="243">
        <f>+I14</f>
        <v>1322.896902</v>
      </c>
      <c r="I260" s="244">
        <f>+B260-C260-D260-E260-H260</f>
        <v>756.483805</v>
      </c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9.5" customHeight="1">
      <c r="A261" s="245" t="s">
        <v>49</v>
      </c>
      <c r="B261" s="246"/>
      <c r="C261" s="247">
        <f>+C260/B260</f>
        <v>0.8662179342</v>
      </c>
      <c r="D261" s="247">
        <f>+D260/B260</f>
        <v>0</v>
      </c>
      <c r="E261" s="247">
        <f>+E260/B260</f>
        <v>0.01220781875</v>
      </c>
      <c r="F261" s="247"/>
      <c r="G261" s="247"/>
      <c r="H261" s="248">
        <f>+H260/B260</f>
        <v>0.07734523757</v>
      </c>
      <c r="I261" s="249">
        <f>+I260/B260</f>
        <v>0.04422900948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9.5" customHeight="1">
      <c r="A262" s="163"/>
      <c r="B262" s="220"/>
      <c r="C262" s="250"/>
      <c r="D262" s="250"/>
      <c r="E262" s="250"/>
      <c r="F262" s="250"/>
      <c r="G262" s="250"/>
      <c r="H262" s="251"/>
      <c r="I262" s="252"/>
      <c r="J262" s="139"/>
      <c r="K262" s="139"/>
      <c r="L262" s="139"/>
      <c r="M262" s="139"/>
      <c r="N262" s="139"/>
      <c r="O262" s="139"/>
      <c r="P262" s="139"/>
      <c r="Q262" s="139"/>
      <c r="R262" s="141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253"/>
      <c r="B263" s="254"/>
      <c r="C263" s="254"/>
      <c r="D263" s="254" t="s">
        <v>50</v>
      </c>
      <c r="E263" s="254" t="s">
        <v>48</v>
      </c>
      <c r="F263" s="254"/>
      <c r="G263" s="254"/>
      <c r="H263" s="255">
        <f>+D260+E260+H260+I260</f>
        <v>2288.180707</v>
      </c>
      <c r="I263" s="256"/>
      <c r="J263" s="139"/>
      <c r="K263" s="139"/>
      <c r="L263" s="139"/>
      <c r="M263" s="139"/>
      <c r="N263" s="139"/>
      <c r="O263" s="139"/>
      <c r="P263" s="139"/>
      <c r="Q263" s="139"/>
      <c r="R263" s="141"/>
      <c r="S263" s="140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257"/>
      <c r="B264" s="139"/>
      <c r="C264" s="139"/>
      <c r="D264" s="139"/>
      <c r="E264" s="139" t="s">
        <v>49</v>
      </c>
      <c r="F264" s="139"/>
      <c r="G264" s="139"/>
      <c r="H264" s="251">
        <f>+H263/B260</f>
        <v>0.1337820658</v>
      </c>
      <c r="I264" s="258"/>
      <c r="J264" s="139"/>
      <c r="K264" s="139"/>
      <c r="L264" s="139"/>
      <c r="M264" s="139"/>
      <c r="N264" s="139"/>
      <c r="O264" s="139"/>
      <c r="P264" s="139"/>
      <c r="Q264" s="139"/>
      <c r="R264" s="141"/>
      <c r="S264" s="140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7"/>
      <c r="B265" s="139"/>
      <c r="C265" s="139" t="s">
        <v>51</v>
      </c>
      <c r="D265" s="139"/>
      <c r="E265" s="139"/>
      <c r="F265" s="139"/>
      <c r="G265" s="139"/>
      <c r="H265" s="140"/>
      <c r="I265" s="258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7"/>
      <c r="B266" s="139"/>
      <c r="C266" s="139"/>
      <c r="D266" s="139" t="s">
        <v>52</v>
      </c>
      <c r="E266" s="139"/>
      <c r="F266" s="139"/>
      <c r="G266" s="139"/>
      <c r="H266" s="140">
        <f>+H265*(H263-H260)</f>
        <v>0</v>
      </c>
      <c r="I266" s="258"/>
      <c r="J266" s="139"/>
      <c r="K266" s="139"/>
      <c r="L266" s="139"/>
      <c r="M266" s="139"/>
      <c r="N266" s="139"/>
      <c r="O266" s="139"/>
      <c r="P266" s="139"/>
      <c r="Q266" s="139"/>
      <c r="R266" s="141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9.5" customHeight="1">
      <c r="A267" s="259"/>
      <c r="B267" s="260"/>
      <c r="C267" s="260"/>
      <c r="D267" s="260"/>
      <c r="E267" s="260"/>
      <c r="F267" s="260"/>
      <c r="G267" s="260"/>
      <c r="H267" s="261"/>
      <c r="I267" s="262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/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21:E221"/>
    <mergeCell ref="C242:E24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82</v>
      </c>
      <c r="C8" s="154">
        <v>22.5</v>
      </c>
      <c r="D8" s="155">
        <v>0.0846</v>
      </c>
      <c r="E8" s="156">
        <f>226.011*8.4</f>
        <v>1898.4924</v>
      </c>
      <c r="F8" s="156"/>
      <c r="G8" s="156"/>
      <c r="H8" s="157">
        <v>8.4</v>
      </c>
      <c r="I8" s="158">
        <f t="shared" ref="I8:I24" si="1">+D8*E8</f>
        <v>160.612457</v>
      </c>
      <c r="J8" s="159">
        <f t="shared" ref="J8:J24" si="2">E8-I8</f>
        <v>1737.879943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26</v>
      </c>
      <c r="C9" s="154">
        <v>18.5</v>
      </c>
      <c r="D9" s="155">
        <v>0.0846</v>
      </c>
      <c r="E9" s="156">
        <f>219.537*21</f>
        <v>4610.277</v>
      </c>
      <c r="F9" s="156"/>
      <c r="G9" s="156"/>
      <c r="H9" s="157">
        <v>21.0</v>
      </c>
      <c r="I9" s="158">
        <f t="shared" si="1"/>
        <v>390.0294342</v>
      </c>
      <c r="J9" s="159">
        <f t="shared" si="2"/>
        <v>4220.247566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83</v>
      </c>
      <c r="C10" s="154">
        <v>30.5</v>
      </c>
      <c r="D10" s="155">
        <v>0.0469</v>
      </c>
      <c r="E10" s="156">
        <f>284.45*15</f>
        <v>4266.75</v>
      </c>
      <c r="F10" s="156"/>
      <c r="G10" s="156"/>
      <c r="H10" s="157">
        <v>15.0</v>
      </c>
      <c r="I10" s="158">
        <f t="shared" si="1"/>
        <v>200.110575</v>
      </c>
      <c r="J10" s="159">
        <f t="shared" si="2"/>
        <v>4066.639425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84</v>
      </c>
      <c r="C11" s="154">
        <v>40.5</v>
      </c>
      <c r="D11" s="161">
        <v>0.0393</v>
      </c>
      <c r="E11" s="162">
        <f>239.061*11</f>
        <v>2629.671</v>
      </c>
      <c r="F11" s="162"/>
      <c r="G11" s="162"/>
      <c r="H11" s="157">
        <v>11.0</v>
      </c>
      <c r="I11" s="158">
        <f t="shared" si="1"/>
        <v>103.3460703</v>
      </c>
      <c r="J11" s="159">
        <f t="shared" si="2"/>
        <v>2526.32493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85</v>
      </c>
      <c r="C12" s="160">
        <v>20.5</v>
      </c>
      <c r="D12" s="161">
        <v>0.0846</v>
      </c>
      <c r="E12" s="162">
        <f>204.203*33.7</f>
        <v>6881.6411</v>
      </c>
      <c r="F12" s="162"/>
      <c r="G12" s="162"/>
      <c r="H12" s="157">
        <v>33.7</v>
      </c>
      <c r="I12" s="158">
        <f t="shared" si="1"/>
        <v>582.1868371</v>
      </c>
      <c r="J12" s="159">
        <f t="shared" si="2"/>
        <v>6299.454263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24</v>
      </c>
      <c r="C13" s="160">
        <v>25.5</v>
      </c>
      <c r="D13" s="161">
        <v>0.0563</v>
      </c>
      <c r="E13" s="162">
        <f>230.528*38.4</f>
        <v>8852.2752</v>
      </c>
      <c r="F13" s="162"/>
      <c r="G13" s="162"/>
      <c r="H13" s="157">
        <v>38.4</v>
      </c>
      <c r="I13" s="158">
        <f t="shared" si="1"/>
        <v>498.3830938</v>
      </c>
      <c r="J13" s="159">
        <f t="shared" si="2"/>
        <v>8353.892106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29139.1067</v>
      </c>
      <c r="F25" s="168"/>
      <c r="G25" s="168"/>
      <c r="H25" s="169"/>
      <c r="I25" s="170">
        <f t="shared" ref="I25:J25" si="3">SUM(I8:I24)</f>
        <v>1934.668467</v>
      </c>
      <c r="J25" s="171">
        <f t="shared" si="3"/>
        <v>27204.43823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86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82</v>
      </c>
      <c r="C32" s="183">
        <v>86.0</v>
      </c>
      <c r="D32" s="183">
        <v>220.0</v>
      </c>
      <c r="E32" s="183">
        <v>162.0</v>
      </c>
      <c r="F32" s="183">
        <f t="shared" ref="F32:F238" si="5">VALUE(IF(RIGHT(B32, 1)="%", RIGHT(B32, 3), 0))</f>
        <v>0</v>
      </c>
      <c r="G32" s="183">
        <f t="shared" ref="G32:G238" si="6">+R32*C32/100*D32/100*E32/100</f>
        <v>65.89836</v>
      </c>
      <c r="H32" s="184">
        <f t="shared" ref="H32:H238" si="7">IF(F32=0, G32, F32*G32)</f>
        <v>65.89836</v>
      </c>
      <c r="I32" s="183">
        <v>1.0</v>
      </c>
      <c r="J32" s="185">
        <f t="shared" ref="J32:J238" si="8">+I32*H32</f>
        <v>65.89836</v>
      </c>
      <c r="K32" s="186"/>
      <c r="L32" s="187">
        <f>D32*25.4/1000</f>
        <v>5.588</v>
      </c>
      <c r="M32" s="188">
        <f>+I32</f>
        <v>1</v>
      </c>
      <c r="N32" s="188">
        <f>M32*L32</f>
        <v>5.588</v>
      </c>
      <c r="O32" s="186"/>
      <c r="P32" s="186"/>
      <c r="Q32" s="187">
        <v>76.0</v>
      </c>
      <c r="R32" s="189">
        <v>21.5</v>
      </c>
      <c r="S32" s="177">
        <f t="shared" ref="S32:S239" si="9">E32/100</f>
        <v>1.62</v>
      </c>
      <c r="T32" s="160">
        <f t="shared" ref="T32:T239" si="10">I32</f>
        <v>1</v>
      </c>
      <c r="U32" s="160">
        <f t="shared" ref="U32:U239" si="11">T32*S32</f>
        <v>1.62</v>
      </c>
      <c r="V32" s="190">
        <f t="shared" ref="V32:V96" si="12">R32*C32/100*D32/100*E32/100</f>
        <v>65.89836</v>
      </c>
      <c r="W32" s="177">
        <f t="shared" ref="W32:X32" si="4">C32/100</f>
        <v>0.86</v>
      </c>
      <c r="X32" s="177">
        <f t="shared" si="4"/>
        <v>2.2</v>
      </c>
      <c r="Y32" s="177">
        <f t="shared" ref="Y32:Y239" si="14">U32</f>
        <v>1.62</v>
      </c>
      <c r="Z32" s="191">
        <f t="shared" ref="Z32:Z239" si="15">W32*X32*Y32</f>
        <v>3.06504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82</v>
      </c>
      <c r="C33" s="192">
        <v>96.0</v>
      </c>
      <c r="D33" s="192">
        <v>220.0</v>
      </c>
      <c r="E33" s="192">
        <v>197.0</v>
      </c>
      <c r="F33" s="192">
        <f t="shared" si="5"/>
        <v>0</v>
      </c>
      <c r="G33" s="192">
        <f t="shared" si="6"/>
        <v>89.45376</v>
      </c>
      <c r="H33" s="193">
        <f t="shared" si="7"/>
        <v>89.45376</v>
      </c>
      <c r="I33" s="192">
        <v>1.0</v>
      </c>
      <c r="J33" s="194">
        <f t="shared" si="8"/>
        <v>89.45376</v>
      </c>
      <c r="K33" s="139"/>
      <c r="L33" s="177"/>
      <c r="M33" s="160"/>
      <c r="N33" s="160"/>
      <c r="O33" s="139"/>
      <c r="P33" s="139"/>
      <c r="Q33" s="177">
        <v>98.0</v>
      </c>
      <c r="R33" s="189">
        <v>21.5</v>
      </c>
      <c r="S33" s="177">
        <f t="shared" si="9"/>
        <v>1.97</v>
      </c>
      <c r="T33" s="160">
        <f t="shared" si="10"/>
        <v>1</v>
      </c>
      <c r="U33" s="160">
        <f t="shared" si="11"/>
        <v>1.97</v>
      </c>
      <c r="V33" s="190">
        <f t="shared" si="12"/>
        <v>89.45376</v>
      </c>
      <c r="W33" s="177">
        <f t="shared" ref="W33:X33" si="13">C33/100</f>
        <v>0.96</v>
      </c>
      <c r="X33" s="177">
        <f t="shared" si="13"/>
        <v>2.2</v>
      </c>
      <c r="Y33" s="177">
        <f t="shared" si="14"/>
        <v>1.97</v>
      </c>
      <c r="Z33" s="191">
        <f t="shared" si="15"/>
        <v>4.16064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82</v>
      </c>
      <c r="C34" s="192">
        <v>99.0</v>
      </c>
      <c r="D34" s="192">
        <v>220.0</v>
      </c>
      <c r="E34" s="192">
        <v>138.0</v>
      </c>
      <c r="F34" s="192">
        <f t="shared" si="5"/>
        <v>0</v>
      </c>
      <c r="G34" s="192">
        <f t="shared" si="6"/>
        <v>64.62126</v>
      </c>
      <c r="H34" s="193">
        <f t="shared" si="7"/>
        <v>64.62126</v>
      </c>
      <c r="I34" s="192">
        <v>1.0</v>
      </c>
      <c r="J34" s="194">
        <f t="shared" si="8"/>
        <v>64.62126</v>
      </c>
      <c r="K34" s="139"/>
      <c r="L34" s="177">
        <f t="shared" ref="L34:L56" si="17">D34*25.4/1000</f>
        <v>5.588</v>
      </c>
      <c r="M34" s="160">
        <f t="shared" ref="M34:M69" si="18">+I34</f>
        <v>1</v>
      </c>
      <c r="N34" s="160">
        <f t="shared" ref="N34:N56" si="19">M34*L34</f>
        <v>5.588</v>
      </c>
      <c r="O34" s="139"/>
      <c r="P34" s="139"/>
      <c r="Q34" s="177">
        <v>70.0</v>
      </c>
      <c r="R34" s="189">
        <v>21.5</v>
      </c>
      <c r="S34" s="177">
        <f t="shared" si="9"/>
        <v>1.38</v>
      </c>
      <c r="T34" s="160">
        <f t="shared" si="10"/>
        <v>1</v>
      </c>
      <c r="U34" s="160">
        <f t="shared" si="11"/>
        <v>1.38</v>
      </c>
      <c r="V34" s="190">
        <f t="shared" si="12"/>
        <v>64.62126</v>
      </c>
      <c r="W34" s="177">
        <f t="shared" ref="W34:X34" si="16">C34/100</f>
        <v>0.99</v>
      </c>
      <c r="X34" s="177">
        <f t="shared" si="16"/>
        <v>2.2</v>
      </c>
      <c r="Y34" s="177">
        <f t="shared" si="14"/>
        <v>1.38</v>
      </c>
      <c r="Z34" s="191">
        <f t="shared" si="15"/>
        <v>3.00564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82</v>
      </c>
      <c r="C35" s="192">
        <v>104.0</v>
      </c>
      <c r="D35" s="192">
        <v>220.0</v>
      </c>
      <c r="E35" s="192">
        <v>138.0</v>
      </c>
      <c r="F35" s="192">
        <f t="shared" si="5"/>
        <v>0</v>
      </c>
      <c r="G35" s="192">
        <f t="shared" si="6"/>
        <v>67.88496</v>
      </c>
      <c r="H35" s="193">
        <f t="shared" si="7"/>
        <v>67.88496</v>
      </c>
      <c r="I35" s="192">
        <v>1.0</v>
      </c>
      <c r="J35" s="194">
        <f t="shared" si="8"/>
        <v>67.88496</v>
      </c>
      <c r="K35" s="139"/>
      <c r="L35" s="177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7">
        <v>101.0</v>
      </c>
      <c r="R35" s="189">
        <v>21.5</v>
      </c>
      <c r="S35" s="177">
        <f t="shared" si="9"/>
        <v>1.38</v>
      </c>
      <c r="T35" s="160">
        <f t="shared" si="10"/>
        <v>1</v>
      </c>
      <c r="U35" s="160">
        <f t="shared" si="11"/>
        <v>1.38</v>
      </c>
      <c r="V35" s="190">
        <f t="shared" si="12"/>
        <v>67.88496</v>
      </c>
      <c r="W35" s="177">
        <f t="shared" ref="W35:X35" si="20">C35/100</f>
        <v>1.04</v>
      </c>
      <c r="X35" s="177">
        <f t="shared" si="20"/>
        <v>2.2</v>
      </c>
      <c r="Y35" s="177">
        <f t="shared" si="14"/>
        <v>1.38</v>
      </c>
      <c r="Z35" s="191">
        <f t="shared" si="15"/>
        <v>3.15744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82</v>
      </c>
      <c r="C36" s="192">
        <v>107.0</v>
      </c>
      <c r="D36" s="192">
        <v>219.0</v>
      </c>
      <c r="E36" s="192">
        <v>2877.0</v>
      </c>
      <c r="F36" s="192">
        <f t="shared" si="5"/>
        <v>0</v>
      </c>
      <c r="G36" s="192">
        <f t="shared" si="6"/>
        <v>1449.459932</v>
      </c>
      <c r="H36" s="193">
        <f t="shared" si="7"/>
        <v>1449.459932</v>
      </c>
      <c r="I36" s="192">
        <v>1.0</v>
      </c>
      <c r="J36" s="194">
        <f t="shared" si="8"/>
        <v>1449.459932</v>
      </c>
      <c r="K36" s="139"/>
      <c r="L36" s="177">
        <f t="shared" si="17"/>
        <v>5.5626</v>
      </c>
      <c r="M36" s="160">
        <f t="shared" si="18"/>
        <v>1</v>
      </c>
      <c r="N36" s="160">
        <f t="shared" si="19"/>
        <v>5.5626</v>
      </c>
      <c r="O36" s="139"/>
      <c r="P36" s="139"/>
      <c r="Q36" s="177">
        <v>1420.0</v>
      </c>
      <c r="R36" s="189">
        <v>21.5</v>
      </c>
      <c r="S36" s="177">
        <f t="shared" si="9"/>
        <v>28.77</v>
      </c>
      <c r="T36" s="160">
        <f t="shared" si="10"/>
        <v>1</v>
      </c>
      <c r="U36" s="160">
        <f t="shared" si="11"/>
        <v>28.77</v>
      </c>
      <c r="V36" s="190">
        <f t="shared" si="12"/>
        <v>1449.459932</v>
      </c>
      <c r="W36" s="177">
        <f t="shared" ref="W36:X36" si="21">C36/100</f>
        <v>1.07</v>
      </c>
      <c r="X36" s="177">
        <f t="shared" si="21"/>
        <v>2.19</v>
      </c>
      <c r="Y36" s="177">
        <f t="shared" si="14"/>
        <v>28.77</v>
      </c>
      <c r="Z36" s="191">
        <f t="shared" si="15"/>
        <v>67.416741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82" t="s">
        <v>26</v>
      </c>
      <c r="C37" s="183">
        <v>79.0</v>
      </c>
      <c r="D37" s="183">
        <v>215.0</v>
      </c>
      <c r="E37" s="183">
        <v>187.0</v>
      </c>
      <c r="F37" s="183">
        <f t="shared" si="5"/>
        <v>0</v>
      </c>
      <c r="G37" s="183">
        <f t="shared" si="6"/>
        <v>60.347705</v>
      </c>
      <c r="H37" s="184">
        <f t="shared" si="7"/>
        <v>60.347705</v>
      </c>
      <c r="I37" s="183">
        <v>1.0</v>
      </c>
      <c r="J37" s="185">
        <f t="shared" si="8"/>
        <v>60.347705</v>
      </c>
      <c r="K37" s="186"/>
      <c r="L37" s="187">
        <f t="shared" si="17"/>
        <v>5.461</v>
      </c>
      <c r="M37" s="188">
        <f t="shared" si="18"/>
        <v>1</v>
      </c>
      <c r="N37" s="188">
        <f t="shared" si="19"/>
        <v>5.461</v>
      </c>
      <c r="O37" s="186"/>
      <c r="P37" s="186"/>
      <c r="Q37" s="187">
        <v>76.0</v>
      </c>
      <c r="R37" s="189">
        <v>19.0</v>
      </c>
      <c r="S37" s="177">
        <f t="shared" si="9"/>
        <v>1.87</v>
      </c>
      <c r="T37" s="160">
        <f t="shared" si="10"/>
        <v>1</v>
      </c>
      <c r="U37" s="160">
        <f t="shared" si="11"/>
        <v>1.87</v>
      </c>
      <c r="V37" s="190">
        <f t="shared" si="12"/>
        <v>60.347705</v>
      </c>
      <c r="W37" s="177">
        <f t="shared" ref="W37:X37" si="22">C37/100</f>
        <v>0.79</v>
      </c>
      <c r="X37" s="177">
        <f t="shared" si="22"/>
        <v>2.15</v>
      </c>
      <c r="Y37" s="177">
        <f t="shared" si="14"/>
        <v>1.87</v>
      </c>
      <c r="Z37" s="191">
        <f t="shared" si="15"/>
        <v>3.176195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26</v>
      </c>
      <c r="C38" s="192">
        <v>103.0</v>
      </c>
      <c r="D38" s="192">
        <v>215.0</v>
      </c>
      <c r="E38" s="192">
        <v>110.0</v>
      </c>
      <c r="F38" s="192">
        <f t="shared" si="5"/>
        <v>0</v>
      </c>
      <c r="G38" s="192">
        <f t="shared" si="6"/>
        <v>46.28305</v>
      </c>
      <c r="H38" s="193">
        <f t="shared" si="7"/>
        <v>46.28305</v>
      </c>
      <c r="I38" s="192">
        <v>1.0</v>
      </c>
      <c r="J38" s="194">
        <f t="shared" si="8"/>
        <v>46.28305</v>
      </c>
      <c r="K38" s="139"/>
      <c r="L38" s="177">
        <f t="shared" si="17"/>
        <v>5.461</v>
      </c>
      <c r="M38" s="160">
        <f t="shared" si="18"/>
        <v>1</v>
      </c>
      <c r="N38" s="160">
        <f t="shared" si="19"/>
        <v>5.461</v>
      </c>
      <c r="O38" s="139"/>
      <c r="P38" s="139"/>
      <c r="Q38" s="177">
        <v>77.0</v>
      </c>
      <c r="R38" s="189">
        <v>19.0</v>
      </c>
      <c r="S38" s="177">
        <f t="shared" si="9"/>
        <v>1.1</v>
      </c>
      <c r="T38" s="160">
        <f t="shared" si="10"/>
        <v>1</v>
      </c>
      <c r="U38" s="160">
        <f t="shared" si="11"/>
        <v>1.1</v>
      </c>
      <c r="V38" s="190">
        <f t="shared" si="12"/>
        <v>46.28305</v>
      </c>
      <c r="W38" s="177">
        <f t="shared" ref="W38:X38" si="23">C38/100</f>
        <v>1.03</v>
      </c>
      <c r="X38" s="177">
        <f t="shared" si="23"/>
        <v>2.15</v>
      </c>
      <c r="Y38" s="177">
        <f t="shared" si="14"/>
        <v>1.1</v>
      </c>
      <c r="Z38" s="191">
        <f t="shared" si="15"/>
        <v>2.43595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26</v>
      </c>
      <c r="C39" s="192">
        <v>101.0</v>
      </c>
      <c r="D39" s="192">
        <v>215.0</v>
      </c>
      <c r="E39" s="192">
        <v>245.0</v>
      </c>
      <c r="F39" s="192">
        <f t="shared" si="5"/>
        <v>0</v>
      </c>
      <c r="G39" s="192">
        <f t="shared" si="6"/>
        <v>101.083325</v>
      </c>
      <c r="H39" s="193">
        <f t="shared" si="7"/>
        <v>101.083325</v>
      </c>
      <c r="I39" s="192">
        <v>1.0</v>
      </c>
      <c r="J39" s="194">
        <f t="shared" si="8"/>
        <v>101.083325</v>
      </c>
      <c r="K39" s="139"/>
      <c r="L39" s="177">
        <f t="shared" si="17"/>
        <v>5.461</v>
      </c>
      <c r="M39" s="160">
        <f t="shared" si="18"/>
        <v>1</v>
      </c>
      <c r="N39" s="160">
        <f t="shared" si="19"/>
        <v>5.461</v>
      </c>
      <c r="O39" s="139"/>
      <c r="P39" s="139"/>
      <c r="Q39" s="177">
        <v>111.0</v>
      </c>
      <c r="R39" s="189">
        <v>19.0</v>
      </c>
      <c r="S39" s="177">
        <f t="shared" si="9"/>
        <v>2.45</v>
      </c>
      <c r="T39" s="160">
        <f t="shared" si="10"/>
        <v>1</v>
      </c>
      <c r="U39" s="160">
        <f t="shared" si="11"/>
        <v>2.45</v>
      </c>
      <c r="V39" s="190">
        <f t="shared" si="12"/>
        <v>101.083325</v>
      </c>
      <c r="W39" s="177">
        <f t="shared" ref="W39:X39" si="24">C39/100</f>
        <v>1.01</v>
      </c>
      <c r="X39" s="177">
        <f t="shared" si="24"/>
        <v>2.15</v>
      </c>
      <c r="Y39" s="177">
        <f t="shared" si="14"/>
        <v>2.45</v>
      </c>
      <c r="Z39" s="191">
        <f t="shared" si="15"/>
        <v>5.320175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26</v>
      </c>
      <c r="C40" s="192">
        <v>104.0</v>
      </c>
      <c r="D40" s="192">
        <v>215.0</v>
      </c>
      <c r="E40" s="192">
        <v>2854.0</v>
      </c>
      <c r="F40" s="192">
        <f t="shared" si="5"/>
        <v>0</v>
      </c>
      <c r="G40" s="192">
        <f t="shared" si="6"/>
        <v>1212.49336</v>
      </c>
      <c r="H40" s="193">
        <f t="shared" si="7"/>
        <v>1212.49336</v>
      </c>
      <c r="I40" s="192">
        <v>1.0</v>
      </c>
      <c r="J40" s="194">
        <f t="shared" si="8"/>
        <v>1212.49336</v>
      </c>
      <c r="K40" s="139"/>
      <c r="L40" s="177">
        <f t="shared" si="17"/>
        <v>5.461</v>
      </c>
      <c r="M40" s="160">
        <f t="shared" si="18"/>
        <v>1</v>
      </c>
      <c r="N40" s="160">
        <f t="shared" si="19"/>
        <v>5.461</v>
      </c>
      <c r="O40" s="139"/>
      <c r="P40" s="139"/>
      <c r="Q40" s="177">
        <v>1255.0</v>
      </c>
      <c r="R40" s="189">
        <v>19.0</v>
      </c>
      <c r="S40" s="177">
        <f t="shared" si="9"/>
        <v>28.54</v>
      </c>
      <c r="T40" s="160">
        <f t="shared" si="10"/>
        <v>1</v>
      </c>
      <c r="U40" s="160">
        <f t="shared" si="11"/>
        <v>28.54</v>
      </c>
      <c r="V40" s="190">
        <f t="shared" si="12"/>
        <v>1212.49336</v>
      </c>
      <c r="W40" s="177">
        <f t="shared" ref="W40:X40" si="25">C40/100</f>
        <v>1.04</v>
      </c>
      <c r="X40" s="177">
        <f t="shared" si="25"/>
        <v>2.15</v>
      </c>
      <c r="Y40" s="177">
        <f t="shared" si="14"/>
        <v>28.54</v>
      </c>
      <c r="Z40" s="191">
        <f t="shared" si="15"/>
        <v>63.81544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26</v>
      </c>
      <c r="C41" s="192">
        <v>108.0</v>
      </c>
      <c r="D41" s="192">
        <v>215.0</v>
      </c>
      <c r="E41" s="192">
        <v>2854.0</v>
      </c>
      <c r="F41" s="192">
        <f t="shared" si="5"/>
        <v>0</v>
      </c>
      <c r="G41" s="192">
        <f t="shared" si="6"/>
        <v>1259.12772</v>
      </c>
      <c r="H41" s="193">
        <f t="shared" si="7"/>
        <v>1259.12772</v>
      </c>
      <c r="I41" s="192">
        <v>1.0</v>
      </c>
      <c r="J41" s="194">
        <f t="shared" si="8"/>
        <v>1259.12772</v>
      </c>
      <c r="K41" s="139"/>
      <c r="L41" s="177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7">
        <v>1270.0</v>
      </c>
      <c r="R41" s="189">
        <v>19.0</v>
      </c>
      <c r="S41" s="177">
        <f t="shared" si="9"/>
        <v>28.54</v>
      </c>
      <c r="T41" s="160">
        <f t="shared" si="10"/>
        <v>1</v>
      </c>
      <c r="U41" s="160">
        <f t="shared" si="11"/>
        <v>28.54</v>
      </c>
      <c r="V41" s="190">
        <f t="shared" si="12"/>
        <v>1259.12772</v>
      </c>
      <c r="W41" s="177">
        <f t="shared" ref="W41:X41" si="26">C41/100</f>
        <v>1.08</v>
      </c>
      <c r="X41" s="177">
        <f t="shared" si="26"/>
        <v>2.15</v>
      </c>
      <c r="Y41" s="177">
        <f t="shared" si="14"/>
        <v>28.54</v>
      </c>
      <c r="Z41" s="191">
        <f t="shared" si="15"/>
        <v>66.26988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26</v>
      </c>
      <c r="C42" s="192">
        <v>108.0</v>
      </c>
      <c r="D42" s="192">
        <v>215.0</v>
      </c>
      <c r="E42" s="192">
        <v>2858.0</v>
      </c>
      <c r="F42" s="192">
        <f t="shared" si="5"/>
        <v>0</v>
      </c>
      <c r="G42" s="192">
        <f t="shared" si="6"/>
        <v>1260.89244</v>
      </c>
      <c r="H42" s="193">
        <f t="shared" si="7"/>
        <v>1260.89244</v>
      </c>
      <c r="I42" s="192">
        <v>1.0</v>
      </c>
      <c r="J42" s="194">
        <f t="shared" si="8"/>
        <v>1260.89244</v>
      </c>
      <c r="K42" s="139"/>
      <c r="L42" s="177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7">
        <v>1250.0</v>
      </c>
      <c r="R42" s="189">
        <v>19.0</v>
      </c>
      <c r="S42" s="177">
        <f t="shared" si="9"/>
        <v>28.58</v>
      </c>
      <c r="T42" s="160">
        <f t="shared" si="10"/>
        <v>1</v>
      </c>
      <c r="U42" s="160">
        <f t="shared" si="11"/>
        <v>28.58</v>
      </c>
      <c r="V42" s="190">
        <f t="shared" si="12"/>
        <v>1260.89244</v>
      </c>
      <c r="W42" s="177">
        <f t="shared" ref="W42:X42" si="27">C42/100</f>
        <v>1.08</v>
      </c>
      <c r="X42" s="177">
        <f t="shared" si="27"/>
        <v>2.15</v>
      </c>
      <c r="Y42" s="177">
        <f t="shared" si="14"/>
        <v>28.58</v>
      </c>
      <c r="Z42" s="191">
        <f t="shared" si="15"/>
        <v>66.36276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82" t="s">
        <v>83</v>
      </c>
      <c r="C43" s="183">
        <v>69.0</v>
      </c>
      <c r="D43" s="183">
        <v>225.0</v>
      </c>
      <c r="E43" s="183">
        <v>178.0</v>
      </c>
      <c r="F43" s="183">
        <f t="shared" si="5"/>
        <v>0</v>
      </c>
      <c r="G43" s="183">
        <f t="shared" si="6"/>
        <v>84.285225</v>
      </c>
      <c r="H43" s="184">
        <f t="shared" si="7"/>
        <v>84.285225</v>
      </c>
      <c r="I43" s="183">
        <v>1.0</v>
      </c>
      <c r="J43" s="185">
        <f t="shared" si="8"/>
        <v>84.285225</v>
      </c>
      <c r="K43" s="186"/>
      <c r="L43" s="187">
        <f t="shared" si="17"/>
        <v>5.715</v>
      </c>
      <c r="M43" s="188">
        <f t="shared" si="18"/>
        <v>1</v>
      </c>
      <c r="N43" s="188">
        <f t="shared" si="19"/>
        <v>5.715</v>
      </c>
      <c r="O43" s="186"/>
      <c r="P43" s="186"/>
      <c r="Q43" s="187">
        <v>99.0</v>
      </c>
      <c r="R43" s="189">
        <v>30.5</v>
      </c>
      <c r="S43" s="177">
        <f t="shared" si="9"/>
        <v>1.78</v>
      </c>
      <c r="T43" s="160">
        <f t="shared" si="10"/>
        <v>1</v>
      </c>
      <c r="U43" s="160">
        <f t="shared" si="11"/>
        <v>1.78</v>
      </c>
      <c r="V43" s="190">
        <f t="shared" si="12"/>
        <v>84.285225</v>
      </c>
      <c r="W43" s="177">
        <f t="shared" ref="W43:X43" si="28">C43/100</f>
        <v>0.69</v>
      </c>
      <c r="X43" s="177">
        <f t="shared" si="28"/>
        <v>2.25</v>
      </c>
      <c r="Y43" s="177">
        <f t="shared" si="14"/>
        <v>1.78</v>
      </c>
      <c r="Z43" s="191">
        <f t="shared" si="15"/>
        <v>2.76345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83</v>
      </c>
      <c r="C44" s="192">
        <v>85.0</v>
      </c>
      <c r="D44" s="192">
        <v>228.0</v>
      </c>
      <c r="E44" s="192">
        <v>238.0</v>
      </c>
      <c r="F44" s="192">
        <f t="shared" si="5"/>
        <v>0</v>
      </c>
      <c r="G44" s="192">
        <f t="shared" si="6"/>
        <v>140.67942</v>
      </c>
      <c r="H44" s="193">
        <f t="shared" si="7"/>
        <v>140.67942</v>
      </c>
      <c r="I44" s="192">
        <v>1.0</v>
      </c>
      <c r="J44" s="194">
        <f t="shared" si="8"/>
        <v>140.67942</v>
      </c>
      <c r="K44" s="139"/>
      <c r="L44" s="177">
        <f t="shared" si="17"/>
        <v>5.7912</v>
      </c>
      <c r="M44" s="160">
        <f t="shared" si="18"/>
        <v>1</v>
      </c>
      <c r="N44" s="160">
        <f t="shared" si="19"/>
        <v>5.7912</v>
      </c>
      <c r="O44" s="139"/>
      <c r="P44" s="139"/>
      <c r="Q44" s="177">
        <v>143.0</v>
      </c>
      <c r="R44" s="189">
        <v>30.5</v>
      </c>
      <c r="S44" s="177">
        <f t="shared" si="9"/>
        <v>2.38</v>
      </c>
      <c r="T44" s="160">
        <f t="shared" si="10"/>
        <v>1</v>
      </c>
      <c r="U44" s="160">
        <f t="shared" si="11"/>
        <v>2.38</v>
      </c>
      <c r="V44" s="190">
        <f t="shared" si="12"/>
        <v>140.67942</v>
      </c>
      <c r="W44" s="177">
        <f t="shared" ref="W44:X44" si="29">C44/100</f>
        <v>0.85</v>
      </c>
      <c r="X44" s="177">
        <f t="shared" si="29"/>
        <v>2.28</v>
      </c>
      <c r="Y44" s="177">
        <f t="shared" si="14"/>
        <v>2.38</v>
      </c>
      <c r="Z44" s="191">
        <f t="shared" si="15"/>
        <v>4.61244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83</v>
      </c>
      <c r="C45" s="192">
        <v>97.0</v>
      </c>
      <c r="D45" s="192">
        <v>225.0</v>
      </c>
      <c r="E45" s="192">
        <v>192.0</v>
      </c>
      <c r="F45" s="192">
        <f t="shared" si="5"/>
        <v>0</v>
      </c>
      <c r="G45" s="192">
        <f t="shared" si="6"/>
        <v>127.8072</v>
      </c>
      <c r="H45" s="193">
        <f t="shared" si="7"/>
        <v>127.8072</v>
      </c>
      <c r="I45" s="192">
        <v>1.0</v>
      </c>
      <c r="J45" s="194">
        <f t="shared" si="8"/>
        <v>127.8072</v>
      </c>
      <c r="K45" s="139"/>
      <c r="L45" s="177">
        <f t="shared" si="17"/>
        <v>5.715</v>
      </c>
      <c r="M45" s="160">
        <f t="shared" si="18"/>
        <v>1</v>
      </c>
      <c r="N45" s="160">
        <f t="shared" si="19"/>
        <v>5.715</v>
      </c>
      <c r="O45" s="139"/>
      <c r="P45" s="139"/>
      <c r="Q45" s="177">
        <v>129.0</v>
      </c>
      <c r="R45" s="189">
        <v>30.5</v>
      </c>
      <c r="S45" s="177">
        <f t="shared" si="9"/>
        <v>1.92</v>
      </c>
      <c r="T45" s="160">
        <f t="shared" si="10"/>
        <v>1</v>
      </c>
      <c r="U45" s="160">
        <f t="shared" si="11"/>
        <v>1.92</v>
      </c>
      <c r="V45" s="190">
        <f t="shared" si="12"/>
        <v>127.8072</v>
      </c>
      <c r="W45" s="177">
        <f t="shared" ref="W45:X45" si="30">C45/100</f>
        <v>0.97</v>
      </c>
      <c r="X45" s="177">
        <f t="shared" si="30"/>
        <v>2.25</v>
      </c>
      <c r="Y45" s="177">
        <f t="shared" si="14"/>
        <v>1.92</v>
      </c>
      <c r="Z45" s="191">
        <f t="shared" si="15"/>
        <v>4.1904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83</v>
      </c>
      <c r="C46" s="192">
        <v>91.0</v>
      </c>
      <c r="D46" s="192">
        <v>224.0</v>
      </c>
      <c r="E46" s="192">
        <v>136.0</v>
      </c>
      <c r="F46" s="192">
        <f t="shared" si="5"/>
        <v>0</v>
      </c>
      <c r="G46" s="192">
        <f t="shared" si="6"/>
        <v>84.552832</v>
      </c>
      <c r="H46" s="193">
        <f t="shared" si="7"/>
        <v>84.552832</v>
      </c>
      <c r="I46" s="192">
        <v>1.0</v>
      </c>
      <c r="J46" s="194">
        <f t="shared" si="8"/>
        <v>84.552832</v>
      </c>
      <c r="K46" s="139"/>
      <c r="L46" s="177">
        <f t="shared" si="17"/>
        <v>5.6896</v>
      </c>
      <c r="M46" s="160">
        <f t="shared" si="18"/>
        <v>1</v>
      </c>
      <c r="N46" s="160">
        <f t="shared" si="19"/>
        <v>5.6896</v>
      </c>
      <c r="O46" s="139"/>
      <c r="P46" s="139"/>
      <c r="Q46" s="177">
        <v>127.0</v>
      </c>
      <c r="R46" s="189">
        <v>30.5</v>
      </c>
      <c r="S46" s="177">
        <f t="shared" si="9"/>
        <v>1.36</v>
      </c>
      <c r="T46" s="160">
        <f t="shared" si="10"/>
        <v>1</v>
      </c>
      <c r="U46" s="160">
        <f t="shared" si="11"/>
        <v>1.36</v>
      </c>
      <c r="V46" s="190">
        <f t="shared" si="12"/>
        <v>84.552832</v>
      </c>
      <c r="W46" s="177">
        <f t="shared" ref="W46:X46" si="31">C46/100</f>
        <v>0.91</v>
      </c>
      <c r="X46" s="177">
        <f t="shared" si="31"/>
        <v>2.24</v>
      </c>
      <c r="Y46" s="177">
        <f t="shared" si="14"/>
        <v>1.36</v>
      </c>
      <c r="Z46" s="191">
        <f t="shared" si="15"/>
        <v>2.772224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83</v>
      </c>
      <c r="C47" s="192">
        <v>95.0</v>
      </c>
      <c r="D47" s="192">
        <v>223.0</v>
      </c>
      <c r="E47" s="192">
        <v>2869.0</v>
      </c>
      <c r="F47" s="192">
        <f t="shared" si="5"/>
        <v>0</v>
      </c>
      <c r="G47" s="192">
        <f t="shared" si="6"/>
        <v>1853.782833</v>
      </c>
      <c r="H47" s="193">
        <f t="shared" si="7"/>
        <v>1853.782833</v>
      </c>
      <c r="I47" s="192">
        <v>1.0</v>
      </c>
      <c r="J47" s="194">
        <f t="shared" si="8"/>
        <v>1853.782833</v>
      </c>
      <c r="K47" s="139"/>
      <c r="L47" s="177">
        <f t="shared" si="17"/>
        <v>5.6642</v>
      </c>
      <c r="M47" s="160">
        <f t="shared" si="18"/>
        <v>1</v>
      </c>
      <c r="N47" s="160">
        <f t="shared" si="19"/>
        <v>5.6642</v>
      </c>
      <c r="O47" s="139"/>
      <c r="P47" s="139"/>
      <c r="Q47" s="177">
        <v>1850.0</v>
      </c>
      <c r="R47" s="189">
        <v>30.5</v>
      </c>
      <c r="S47" s="177">
        <f t="shared" si="9"/>
        <v>28.69</v>
      </c>
      <c r="T47" s="160">
        <f t="shared" si="10"/>
        <v>1</v>
      </c>
      <c r="U47" s="160">
        <f t="shared" si="11"/>
        <v>28.69</v>
      </c>
      <c r="V47" s="190">
        <f t="shared" si="12"/>
        <v>1853.782833</v>
      </c>
      <c r="W47" s="177">
        <f t="shared" ref="W47:X47" si="32">C47/100</f>
        <v>0.95</v>
      </c>
      <c r="X47" s="177">
        <f t="shared" si="32"/>
        <v>2.23</v>
      </c>
      <c r="Y47" s="177">
        <f t="shared" si="14"/>
        <v>28.69</v>
      </c>
      <c r="Z47" s="191">
        <f t="shared" si="15"/>
        <v>60.779765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83</v>
      </c>
      <c r="C48" s="192">
        <v>95.0</v>
      </c>
      <c r="D48" s="192">
        <v>223.0</v>
      </c>
      <c r="E48" s="192">
        <v>2868.0</v>
      </c>
      <c r="F48" s="192">
        <f t="shared" si="5"/>
        <v>0</v>
      </c>
      <c r="G48" s="192">
        <f t="shared" si="6"/>
        <v>1853.13669</v>
      </c>
      <c r="H48" s="193">
        <f t="shared" si="7"/>
        <v>1853.13669</v>
      </c>
      <c r="I48" s="192">
        <v>1.0</v>
      </c>
      <c r="J48" s="194">
        <f t="shared" si="8"/>
        <v>1853.13669</v>
      </c>
      <c r="K48" s="139"/>
      <c r="L48" s="177">
        <f t="shared" si="17"/>
        <v>5.6642</v>
      </c>
      <c r="M48" s="160">
        <f t="shared" si="18"/>
        <v>1</v>
      </c>
      <c r="N48" s="160">
        <f t="shared" si="19"/>
        <v>5.6642</v>
      </c>
      <c r="O48" s="139"/>
      <c r="P48" s="139"/>
      <c r="Q48" s="177">
        <v>1855.0</v>
      </c>
      <c r="R48" s="189">
        <v>30.5</v>
      </c>
      <c r="S48" s="177">
        <f t="shared" si="9"/>
        <v>28.68</v>
      </c>
      <c r="T48" s="160">
        <f t="shared" si="10"/>
        <v>1</v>
      </c>
      <c r="U48" s="160">
        <f t="shared" si="11"/>
        <v>28.68</v>
      </c>
      <c r="V48" s="190">
        <f t="shared" si="12"/>
        <v>1853.13669</v>
      </c>
      <c r="W48" s="177">
        <f t="shared" ref="W48:X48" si="33">C48/100</f>
        <v>0.95</v>
      </c>
      <c r="X48" s="177">
        <f t="shared" si="33"/>
        <v>2.23</v>
      </c>
      <c r="Y48" s="177">
        <f t="shared" si="14"/>
        <v>28.68</v>
      </c>
      <c r="Z48" s="191">
        <f t="shared" si="15"/>
        <v>60.75858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82" t="s">
        <v>84</v>
      </c>
      <c r="C49" s="183">
        <v>63.0</v>
      </c>
      <c r="D49" s="183">
        <v>204.0</v>
      </c>
      <c r="E49" s="183">
        <v>183.0</v>
      </c>
      <c r="F49" s="183">
        <f t="shared" si="5"/>
        <v>0</v>
      </c>
      <c r="G49" s="183">
        <f t="shared" si="6"/>
        <v>95.252598</v>
      </c>
      <c r="H49" s="184">
        <f t="shared" si="7"/>
        <v>95.252598</v>
      </c>
      <c r="I49" s="183">
        <v>1.0</v>
      </c>
      <c r="J49" s="185">
        <f t="shared" si="8"/>
        <v>95.252598</v>
      </c>
      <c r="K49" s="186"/>
      <c r="L49" s="187">
        <f t="shared" si="17"/>
        <v>5.1816</v>
      </c>
      <c r="M49" s="188">
        <f t="shared" si="18"/>
        <v>1</v>
      </c>
      <c r="N49" s="188">
        <f t="shared" si="19"/>
        <v>5.1816</v>
      </c>
      <c r="O49" s="186"/>
      <c r="P49" s="186"/>
      <c r="Q49" s="187">
        <v>96.0</v>
      </c>
      <c r="R49" s="189">
        <v>40.5</v>
      </c>
      <c r="S49" s="177">
        <f t="shared" si="9"/>
        <v>1.83</v>
      </c>
      <c r="T49" s="160">
        <f t="shared" si="10"/>
        <v>1</v>
      </c>
      <c r="U49" s="160">
        <f t="shared" si="11"/>
        <v>1.83</v>
      </c>
      <c r="V49" s="190">
        <f t="shared" si="12"/>
        <v>95.252598</v>
      </c>
      <c r="W49" s="177">
        <f t="shared" ref="W49:X49" si="34">C49/100</f>
        <v>0.63</v>
      </c>
      <c r="X49" s="177">
        <f t="shared" si="34"/>
        <v>2.04</v>
      </c>
      <c r="Y49" s="177">
        <f t="shared" si="14"/>
        <v>1.83</v>
      </c>
      <c r="Z49" s="191">
        <f t="shared" si="15"/>
        <v>2.351916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84</v>
      </c>
      <c r="C50" s="192">
        <v>72.0</v>
      </c>
      <c r="D50" s="192">
        <v>204.0</v>
      </c>
      <c r="E50" s="192">
        <v>160.0</v>
      </c>
      <c r="F50" s="192">
        <f t="shared" si="5"/>
        <v>0</v>
      </c>
      <c r="G50" s="192">
        <f t="shared" si="6"/>
        <v>95.17824</v>
      </c>
      <c r="H50" s="193">
        <f t="shared" si="7"/>
        <v>95.17824</v>
      </c>
      <c r="I50" s="192">
        <v>1.0</v>
      </c>
      <c r="J50" s="194">
        <f t="shared" si="8"/>
        <v>95.17824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103.0</v>
      </c>
      <c r="R50" s="189">
        <v>40.5</v>
      </c>
      <c r="S50" s="177">
        <f t="shared" si="9"/>
        <v>1.6</v>
      </c>
      <c r="T50" s="160">
        <f t="shared" si="10"/>
        <v>1</v>
      </c>
      <c r="U50" s="160">
        <f t="shared" si="11"/>
        <v>1.6</v>
      </c>
      <c r="V50" s="190">
        <f t="shared" si="12"/>
        <v>95.17824</v>
      </c>
      <c r="W50" s="177">
        <f t="shared" ref="W50:X50" si="35">C50/100</f>
        <v>0.72</v>
      </c>
      <c r="X50" s="177">
        <f t="shared" si="35"/>
        <v>2.04</v>
      </c>
      <c r="Y50" s="177">
        <f t="shared" si="14"/>
        <v>1.6</v>
      </c>
      <c r="Z50" s="191">
        <f t="shared" si="15"/>
        <v>2.35008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84</v>
      </c>
      <c r="C51" s="192">
        <v>78.0</v>
      </c>
      <c r="D51" s="192">
        <v>208.0</v>
      </c>
      <c r="E51" s="192">
        <v>200.0</v>
      </c>
      <c r="F51" s="192">
        <f t="shared" si="5"/>
        <v>0</v>
      </c>
      <c r="G51" s="192">
        <f t="shared" si="6"/>
        <v>131.4144</v>
      </c>
      <c r="H51" s="193">
        <f t="shared" si="7"/>
        <v>131.4144</v>
      </c>
      <c r="I51" s="192">
        <v>1.0</v>
      </c>
      <c r="J51" s="194">
        <f t="shared" si="8"/>
        <v>131.4144</v>
      </c>
      <c r="K51" s="139"/>
      <c r="L51" s="177">
        <f t="shared" si="17"/>
        <v>5.2832</v>
      </c>
      <c r="M51" s="160">
        <f t="shared" si="18"/>
        <v>1</v>
      </c>
      <c r="N51" s="160">
        <f t="shared" si="19"/>
        <v>5.2832</v>
      </c>
      <c r="O51" s="139"/>
      <c r="P51" s="139"/>
      <c r="Q51" s="177">
        <v>134.0</v>
      </c>
      <c r="R51" s="189">
        <v>40.5</v>
      </c>
      <c r="S51" s="177">
        <f t="shared" si="9"/>
        <v>2</v>
      </c>
      <c r="T51" s="160">
        <f t="shared" si="10"/>
        <v>1</v>
      </c>
      <c r="U51" s="160">
        <f t="shared" si="11"/>
        <v>2</v>
      </c>
      <c r="V51" s="190">
        <f t="shared" si="12"/>
        <v>131.4144</v>
      </c>
      <c r="W51" s="177">
        <f t="shared" ref="W51:X51" si="36">C51/100</f>
        <v>0.78</v>
      </c>
      <c r="X51" s="177">
        <f t="shared" si="36"/>
        <v>2.08</v>
      </c>
      <c r="Y51" s="177">
        <f t="shared" si="14"/>
        <v>2</v>
      </c>
      <c r="Z51" s="191">
        <f t="shared" si="15"/>
        <v>3.2448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84</v>
      </c>
      <c r="C52" s="192">
        <v>84.0</v>
      </c>
      <c r="D52" s="192">
        <v>206.0</v>
      </c>
      <c r="E52" s="192">
        <v>144.0</v>
      </c>
      <c r="F52" s="192">
        <f t="shared" si="5"/>
        <v>0</v>
      </c>
      <c r="G52" s="192">
        <f t="shared" si="6"/>
        <v>100.916928</v>
      </c>
      <c r="H52" s="193">
        <f t="shared" si="7"/>
        <v>100.916928</v>
      </c>
      <c r="I52" s="192">
        <v>1.0</v>
      </c>
      <c r="J52" s="194">
        <f t="shared" si="8"/>
        <v>100.916928</v>
      </c>
      <c r="K52" s="139"/>
      <c r="L52" s="177">
        <f t="shared" si="17"/>
        <v>5.2324</v>
      </c>
      <c r="M52" s="160">
        <f t="shared" si="18"/>
        <v>1</v>
      </c>
      <c r="N52" s="160">
        <f t="shared" si="19"/>
        <v>5.2324</v>
      </c>
      <c r="O52" s="139"/>
      <c r="P52" s="139"/>
      <c r="Q52" s="177">
        <v>143.0</v>
      </c>
      <c r="R52" s="189">
        <v>40.5</v>
      </c>
      <c r="S52" s="177">
        <f t="shared" si="9"/>
        <v>1.44</v>
      </c>
      <c r="T52" s="160">
        <f t="shared" si="10"/>
        <v>1</v>
      </c>
      <c r="U52" s="160">
        <f t="shared" si="11"/>
        <v>1.44</v>
      </c>
      <c r="V52" s="190">
        <f t="shared" si="12"/>
        <v>100.916928</v>
      </c>
      <c r="W52" s="177">
        <f t="shared" ref="W52:X52" si="37">C52/100</f>
        <v>0.84</v>
      </c>
      <c r="X52" s="177">
        <f t="shared" si="37"/>
        <v>2.06</v>
      </c>
      <c r="Y52" s="177">
        <f t="shared" si="14"/>
        <v>1.44</v>
      </c>
      <c r="Z52" s="191">
        <f t="shared" si="15"/>
        <v>2.491776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84</v>
      </c>
      <c r="C53" s="192">
        <v>87.0</v>
      </c>
      <c r="D53" s="192">
        <v>204.0</v>
      </c>
      <c r="E53" s="192">
        <v>2880.0</v>
      </c>
      <c r="F53" s="192">
        <f t="shared" si="5"/>
        <v>0</v>
      </c>
      <c r="G53" s="192">
        <f t="shared" si="6"/>
        <v>2070.12672</v>
      </c>
      <c r="H53" s="193">
        <f t="shared" si="7"/>
        <v>2070.12672</v>
      </c>
      <c r="I53" s="192">
        <v>1.0</v>
      </c>
      <c r="J53" s="194">
        <f t="shared" si="8"/>
        <v>2070.12672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2000.0</v>
      </c>
      <c r="R53" s="189">
        <v>40.5</v>
      </c>
      <c r="S53" s="177">
        <f t="shared" si="9"/>
        <v>28.8</v>
      </c>
      <c r="T53" s="160">
        <f t="shared" si="10"/>
        <v>1</v>
      </c>
      <c r="U53" s="160">
        <f t="shared" si="11"/>
        <v>28.8</v>
      </c>
      <c r="V53" s="190">
        <f t="shared" si="12"/>
        <v>2070.12672</v>
      </c>
      <c r="W53" s="177">
        <f t="shared" ref="W53:X53" si="38">C53/100</f>
        <v>0.87</v>
      </c>
      <c r="X53" s="177">
        <f t="shared" si="38"/>
        <v>2.04</v>
      </c>
      <c r="Y53" s="177">
        <f t="shared" si="14"/>
        <v>28.8</v>
      </c>
      <c r="Z53" s="191">
        <f t="shared" si="15"/>
        <v>51.11424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82" t="s">
        <v>85</v>
      </c>
      <c r="C54" s="183">
        <v>101.0</v>
      </c>
      <c r="D54" s="183">
        <v>205.0</v>
      </c>
      <c r="E54" s="183">
        <v>124.0</v>
      </c>
      <c r="F54" s="183">
        <f t="shared" si="5"/>
        <v>0</v>
      </c>
      <c r="G54" s="183">
        <f t="shared" si="6"/>
        <v>51.3484</v>
      </c>
      <c r="H54" s="184">
        <f t="shared" si="7"/>
        <v>51.3484</v>
      </c>
      <c r="I54" s="183">
        <v>1.0</v>
      </c>
      <c r="J54" s="185">
        <f t="shared" si="8"/>
        <v>51.3484</v>
      </c>
      <c r="K54" s="186"/>
      <c r="L54" s="187">
        <f t="shared" si="17"/>
        <v>5.207</v>
      </c>
      <c r="M54" s="188">
        <f t="shared" si="18"/>
        <v>1</v>
      </c>
      <c r="N54" s="188">
        <f t="shared" si="19"/>
        <v>5.207</v>
      </c>
      <c r="O54" s="186"/>
      <c r="P54" s="186"/>
      <c r="Q54" s="187">
        <v>75.0</v>
      </c>
      <c r="R54" s="189">
        <v>20.0</v>
      </c>
      <c r="S54" s="177">
        <f t="shared" si="9"/>
        <v>1.24</v>
      </c>
      <c r="T54" s="160">
        <f t="shared" si="10"/>
        <v>1</v>
      </c>
      <c r="U54" s="160">
        <f t="shared" si="11"/>
        <v>1.24</v>
      </c>
      <c r="V54" s="190">
        <f t="shared" si="12"/>
        <v>51.3484</v>
      </c>
      <c r="W54" s="177">
        <f t="shared" ref="W54:X54" si="39">C54/100</f>
        <v>1.01</v>
      </c>
      <c r="X54" s="177">
        <f t="shared" si="39"/>
        <v>2.05</v>
      </c>
      <c r="Y54" s="177">
        <f t="shared" si="14"/>
        <v>1.24</v>
      </c>
      <c r="Z54" s="191">
        <f t="shared" si="15"/>
        <v>2.56742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85</v>
      </c>
      <c r="C55" s="192">
        <v>85.0</v>
      </c>
      <c r="D55" s="192">
        <v>207.0</v>
      </c>
      <c r="E55" s="192">
        <v>147.0</v>
      </c>
      <c r="F55" s="192">
        <f t="shared" si="5"/>
        <v>0</v>
      </c>
      <c r="G55" s="192">
        <f t="shared" si="6"/>
        <v>51.7293</v>
      </c>
      <c r="H55" s="193">
        <f t="shared" si="7"/>
        <v>51.7293</v>
      </c>
      <c r="I55" s="192">
        <v>1.0</v>
      </c>
      <c r="J55" s="194">
        <f t="shared" si="8"/>
        <v>51.7293</v>
      </c>
      <c r="K55" s="139"/>
      <c r="L55" s="177">
        <f t="shared" si="17"/>
        <v>5.2578</v>
      </c>
      <c r="M55" s="160">
        <f t="shared" si="18"/>
        <v>1</v>
      </c>
      <c r="N55" s="160">
        <f t="shared" si="19"/>
        <v>5.2578</v>
      </c>
      <c r="O55" s="139"/>
      <c r="P55" s="139"/>
      <c r="Q55" s="177">
        <v>56.0</v>
      </c>
      <c r="R55" s="189">
        <v>20.0</v>
      </c>
      <c r="S55" s="177">
        <f t="shared" si="9"/>
        <v>1.47</v>
      </c>
      <c r="T55" s="160">
        <f t="shared" si="10"/>
        <v>1</v>
      </c>
      <c r="U55" s="160">
        <f t="shared" si="11"/>
        <v>1.47</v>
      </c>
      <c r="V55" s="190">
        <f t="shared" si="12"/>
        <v>51.7293</v>
      </c>
      <c r="W55" s="177">
        <f t="shared" ref="W55:X55" si="40">C55/100</f>
        <v>0.85</v>
      </c>
      <c r="X55" s="177">
        <f t="shared" si="40"/>
        <v>2.07</v>
      </c>
      <c r="Y55" s="177">
        <f t="shared" si="14"/>
        <v>1.47</v>
      </c>
      <c r="Z55" s="191">
        <f t="shared" si="15"/>
        <v>2.586465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85</v>
      </c>
      <c r="C56" s="192">
        <v>81.0</v>
      </c>
      <c r="D56" s="192">
        <v>204.0</v>
      </c>
      <c r="E56" s="192">
        <v>198.0</v>
      </c>
      <c r="F56" s="192">
        <f t="shared" si="5"/>
        <v>0</v>
      </c>
      <c r="G56" s="192">
        <f t="shared" si="6"/>
        <v>65.43504</v>
      </c>
      <c r="H56" s="193">
        <f t="shared" si="7"/>
        <v>65.43504</v>
      </c>
      <c r="I56" s="192">
        <v>1.0</v>
      </c>
      <c r="J56" s="194">
        <f t="shared" si="8"/>
        <v>65.43504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77.0</v>
      </c>
      <c r="R56" s="189">
        <v>20.0</v>
      </c>
      <c r="S56" s="177">
        <f t="shared" si="9"/>
        <v>1.98</v>
      </c>
      <c r="T56" s="160">
        <f t="shared" si="10"/>
        <v>1</v>
      </c>
      <c r="U56" s="160">
        <f t="shared" si="11"/>
        <v>1.98</v>
      </c>
      <c r="V56" s="190">
        <f t="shared" si="12"/>
        <v>65.43504</v>
      </c>
      <c r="W56" s="177">
        <f t="shared" ref="W56:X56" si="41">C56/100</f>
        <v>0.81</v>
      </c>
      <c r="X56" s="177">
        <f t="shared" si="41"/>
        <v>2.04</v>
      </c>
      <c r="Y56" s="177">
        <f t="shared" si="14"/>
        <v>1.98</v>
      </c>
      <c r="Z56" s="191">
        <f t="shared" si="15"/>
        <v>3.271752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85</v>
      </c>
      <c r="C57" s="192">
        <v>103.0</v>
      </c>
      <c r="D57" s="192">
        <v>204.0</v>
      </c>
      <c r="E57" s="192">
        <v>2860.0</v>
      </c>
      <c r="F57" s="192">
        <f t="shared" si="5"/>
        <v>0</v>
      </c>
      <c r="G57" s="192">
        <f t="shared" si="6"/>
        <v>1201.8864</v>
      </c>
      <c r="H57" s="193">
        <f t="shared" si="7"/>
        <v>1201.8864</v>
      </c>
      <c r="I57" s="192">
        <v>1.0</v>
      </c>
      <c r="J57" s="194">
        <f t="shared" si="8"/>
        <v>1201.8864</v>
      </c>
      <c r="K57" s="139"/>
      <c r="L57" s="195"/>
      <c r="M57" s="196">
        <f t="shared" si="18"/>
        <v>1</v>
      </c>
      <c r="N57" s="196"/>
      <c r="O57" s="139"/>
      <c r="P57" s="139"/>
      <c r="Q57" s="177">
        <v>1180.0</v>
      </c>
      <c r="R57" s="189">
        <v>20.0</v>
      </c>
      <c r="S57" s="177">
        <f t="shared" si="9"/>
        <v>28.6</v>
      </c>
      <c r="T57" s="160">
        <f t="shared" si="10"/>
        <v>1</v>
      </c>
      <c r="U57" s="160">
        <f t="shared" si="11"/>
        <v>28.6</v>
      </c>
      <c r="V57" s="190">
        <f t="shared" si="12"/>
        <v>1201.8864</v>
      </c>
      <c r="W57" s="177">
        <f t="shared" ref="W57:X57" si="42">C57/100</f>
        <v>1.03</v>
      </c>
      <c r="X57" s="177">
        <f t="shared" si="42"/>
        <v>2.04</v>
      </c>
      <c r="Y57" s="177">
        <f t="shared" si="14"/>
        <v>28.6</v>
      </c>
      <c r="Z57" s="191">
        <f t="shared" si="15"/>
        <v>60.09432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85</v>
      </c>
      <c r="C58" s="192">
        <v>104.0</v>
      </c>
      <c r="D58" s="192">
        <v>204.0</v>
      </c>
      <c r="E58" s="192">
        <v>2860.0</v>
      </c>
      <c r="F58" s="192">
        <f t="shared" si="5"/>
        <v>0</v>
      </c>
      <c r="G58" s="192">
        <f t="shared" si="6"/>
        <v>1213.5552</v>
      </c>
      <c r="H58" s="193">
        <f t="shared" si="7"/>
        <v>1213.5552</v>
      </c>
      <c r="I58" s="192">
        <v>1.0</v>
      </c>
      <c r="J58" s="194">
        <f t="shared" si="8"/>
        <v>1213.5552</v>
      </c>
      <c r="K58" s="139"/>
      <c r="L58" s="195"/>
      <c r="M58" s="196">
        <f t="shared" si="18"/>
        <v>1</v>
      </c>
      <c r="N58" s="196"/>
      <c r="O58" s="139"/>
      <c r="P58" s="139"/>
      <c r="Q58" s="177">
        <v>1195.0</v>
      </c>
      <c r="R58" s="189">
        <v>20.0</v>
      </c>
      <c r="S58" s="177">
        <f t="shared" si="9"/>
        <v>28.6</v>
      </c>
      <c r="T58" s="160">
        <f t="shared" si="10"/>
        <v>1</v>
      </c>
      <c r="U58" s="160">
        <f t="shared" si="11"/>
        <v>28.6</v>
      </c>
      <c r="V58" s="190">
        <f t="shared" si="12"/>
        <v>1213.5552</v>
      </c>
      <c r="W58" s="177">
        <f t="shared" ref="W58:X58" si="43">C58/100</f>
        <v>1.04</v>
      </c>
      <c r="X58" s="177">
        <f t="shared" si="43"/>
        <v>2.04</v>
      </c>
      <c r="Y58" s="177">
        <f t="shared" si="14"/>
        <v>28.6</v>
      </c>
      <c r="Z58" s="191">
        <f t="shared" si="15"/>
        <v>60.67776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85</v>
      </c>
      <c r="C59" s="192">
        <v>103.0</v>
      </c>
      <c r="D59" s="192">
        <v>204.0</v>
      </c>
      <c r="E59" s="192">
        <v>2861.0</v>
      </c>
      <c r="F59" s="192">
        <f t="shared" si="5"/>
        <v>0</v>
      </c>
      <c r="G59" s="192">
        <f t="shared" si="6"/>
        <v>1202.30664</v>
      </c>
      <c r="H59" s="193">
        <f t="shared" si="7"/>
        <v>1202.30664</v>
      </c>
      <c r="I59" s="192">
        <v>1.0</v>
      </c>
      <c r="J59" s="194">
        <f t="shared" si="8"/>
        <v>1202.30664</v>
      </c>
      <c r="K59" s="139"/>
      <c r="L59" s="195"/>
      <c r="M59" s="196">
        <f t="shared" si="18"/>
        <v>1</v>
      </c>
      <c r="N59" s="196"/>
      <c r="O59" s="139"/>
      <c r="P59" s="139"/>
      <c r="Q59" s="177">
        <v>1165.0</v>
      </c>
      <c r="R59" s="189">
        <v>20.0</v>
      </c>
      <c r="S59" s="177">
        <f t="shared" si="9"/>
        <v>28.61</v>
      </c>
      <c r="T59" s="160">
        <f t="shared" si="10"/>
        <v>1</v>
      </c>
      <c r="U59" s="160">
        <f t="shared" si="11"/>
        <v>28.61</v>
      </c>
      <c r="V59" s="190">
        <f t="shared" si="12"/>
        <v>1202.30664</v>
      </c>
      <c r="W59" s="177">
        <f t="shared" ref="W59:X59" si="44">C59/100</f>
        <v>1.03</v>
      </c>
      <c r="X59" s="177">
        <f t="shared" si="44"/>
        <v>2.04</v>
      </c>
      <c r="Y59" s="177">
        <f t="shared" si="14"/>
        <v>28.61</v>
      </c>
      <c r="Z59" s="191">
        <f t="shared" si="15"/>
        <v>60.115332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85</v>
      </c>
      <c r="C60" s="192">
        <v>101.0</v>
      </c>
      <c r="D60" s="192">
        <v>204.0</v>
      </c>
      <c r="E60" s="192">
        <v>2860.0</v>
      </c>
      <c r="F60" s="192">
        <f t="shared" si="5"/>
        <v>0</v>
      </c>
      <c r="G60" s="192">
        <f t="shared" si="6"/>
        <v>1178.5488</v>
      </c>
      <c r="H60" s="193">
        <f t="shared" si="7"/>
        <v>1178.5488</v>
      </c>
      <c r="I60" s="192">
        <v>1.0</v>
      </c>
      <c r="J60" s="194">
        <f t="shared" si="8"/>
        <v>1178.5488</v>
      </c>
      <c r="K60" s="139"/>
      <c r="L60" s="195"/>
      <c r="M60" s="196">
        <f t="shared" si="18"/>
        <v>1</v>
      </c>
      <c r="N60" s="196"/>
      <c r="O60" s="139"/>
      <c r="P60" s="139"/>
      <c r="Q60" s="177">
        <v>1180.0</v>
      </c>
      <c r="R60" s="189">
        <v>20.0</v>
      </c>
      <c r="S60" s="177">
        <f t="shared" si="9"/>
        <v>28.6</v>
      </c>
      <c r="T60" s="160">
        <f t="shared" si="10"/>
        <v>1</v>
      </c>
      <c r="U60" s="160">
        <f t="shared" si="11"/>
        <v>28.6</v>
      </c>
      <c r="V60" s="190">
        <f t="shared" si="12"/>
        <v>1178.5488</v>
      </c>
      <c r="W60" s="177">
        <f t="shared" ref="W60:X60" si="45">C60/100</f>
        <v>1.01</v>
      </c>
      <c r="X60" s="177">
        <f t="shared" si="45"/>
        <v>2.04</v>
      </c>
      <c r="Y60" s="177">
        <f t="shared" si="14"/>
        <v>28.6</v>
      </c>
      <c r="Z60" s="191">
        <f t="shared" si="15"/>
        <v>58.92744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85</v>
      </c>
      <c r="C61" s="192">
        <v>102.0</v>
      </c>
      <c r="D61" s="192">
        <v>204.0</v>
      </c>
      <c r="E61" s="192">
        <v>2855.0</v>
      </c>
      <c r="F61" s="192">
        <f t="shared" si="5"/>
        <v>0</v>
      </c>
      <c r="G61" s="192">
        <f t="shared" si="6"/>
        <v>1188.1368</v>
      </c>
      <c r="H61" s="193">
        <f t="shared" si="7"/>
        <v>1188.1368</v>
      </c>
      <c r="I61" s="192">
        <v>1.0</v>
      </c>
      <c r="J61" s="194">
        <f t="shared" si="8"/>
        <v>1188.1368</v>
      </c>
      <c r="K61" s="139"/>
      <c r="L61" s="195"/>
      <c r="M61" s="196">
        <f t="shared" si="18"/>
        <v>1</v>
      </c>
      <c r="N61" s="196"/>
      <c r="O61" s="139"/>
      <c r="P61" s="139"/>
      <c r="Q61" s="177">
        <v>1180.0</v>
      </c>
      <c r="R61" s="189">
        <v>20.0</v>
      </c>
      <c r="S61" s="177">
        <f t="shared" si="9"/>
        <v>28.55</v>
      </c>
      <c r="T61" s="160">
        <f t="shared" si="10"/>
        <v>1</v>
      </c>
      <c r="U61" s="160">
        <f t="shared" si="11"/>
        <v>28.55</v>
      </c>
      <c r="V61" s="190">
        <f t="shared" si="12"/>
        <v>1188.1368</v>
      </c>
      <c r="W61" s="177">
        <f t="shared" ref="W61:X61" si="46">C61/100</f>
        <v>1.02</v>
      </c>
      <c r="X61" s="177">
        <f t="shared" si="46"/>
        <v>2.04</v>
      </c>
      <c r="Y61" s="177">
        <f t="shared" si="14"/>
        <v>28.55</v>
      </c>
      <c r="Z61" s="191">
        <f t="shared" si="15"/>
        <v>59.40684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82" t="s">
        <v>24</v>
      </c>
      <c r="C62" s="183">
        <v>71.0</v>
      </c>
      <c r="D62" s="183">
        <v>201.0</v>
      </c>
      <c r="E62" s="183">
        <v>184.0</v>
      </c>
      <c r="F62" s="183">
        <f t="shared" si="5"/>
        <v>0</v>
      </c>
      <c r="G62" s="183">
        <f t="shared" si="6"/>
        <v>66.959532</v>
      </c>
      <c r="H62" s="184">
        <f t="shared" si="7"/>
        <v>66.959532</v>
      </c>
      <c r="I62" s="183">
        <v>1.0</v>
      </c>
      <c r="J62" s="185">
        <f t="shared" si="8"/>
        <v>66.959532</v>
      </c>
      <c r="K62" s="186"/>
      <c r="L62" s="265"/>
      <c r="M62" s="266">
        <f t="shared" si="18"/>
        <v>1</v>
      </c>
      <c r="N62" s="266"/>
      <c r="O62" s="186"/>
      <c r="P62" s="186"/>
      <c r="Q62" s="187">
        <v>78.0</v>
      </c>
      <c r="R62" s="189">
        <v>25.5</v>
      </c>
      <c r="S62" s="177">
        <f t="shared" si="9"/>
        <v>1.84</v>
      </c>
      <c r="T62" s="160">
        <f t="shared" si="10"/>
        <v>1</v>
      </c>
      <c r="U62" s="160">
        <f t="shared" si="11"/>
        <v>1.84</v>
      </c>
      <c r="V62" s="190">
        <f t="shared" si="12"/>
        <v>66.959532</v>
      </c>
      <c r="W62" s="177">
        <f t="shared" ref="W62:X62" si="47">C62/100</f>
        <v>0.71</v>
      </c>
      <c r="X62" s="177">
        <f t="shared" si="47"/>
        <v>2.01</v>
      </c>
      <c r="Y62" s="177">
        <f t="shared" si="14"/>
        <v>1.84</v>
      </c>
      <c r="Z62" s="191">
        <f t="shared" si="15"/>
        <v>2.625864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24</v>
      </c>
      <c r="C63" s="192">
        <v>98.0</v>
      </c>
      <c r="D63" s="192">
        <v>203.0</v>
      </c>
      <c r="E63" s="192">
        <v>208.0</v>
      </c>
      <c r="F63" s="192">
        <f t="shared" si="5"/>
        <v>0</v>
      </c>
      <c r="G63" s="192">
        <f t="shared" si="6"/>
        <v>105.517776</v>
      </c>
      <c r="H63" s="193">
        <f t="shared" si="7"/>
        <v>105.517776</v>
      </c>
      <c r="I63" s="192">
        <v>1.0</v>
      </c>
      <c r="J63" s="194">
        <f t="shared" si="8"/>
        <v>105.517776</v>
      </c>
      <c r="K63" s="139"/>
      <c r="L63" s="195"/>
      <c r="M63" s="196">
        <f t="shared" si="18"/>
        <v>1</v>
      </c>
      <c r="N63" s="196"/>
      <c r="O63" s="139"/>
      <c r="P63" s="139"/>
      <c r="Q63" s="177">
        <v>104.0</v>
      </c>
      <c r="R63" s="189">
        <v>25.5</v>
      </c>
      <c r="S63" s="177">
        <f t="shared" si="9"/>
        <v>2.08</v>
      </c>
      <c r="T63" s="160">
        <f t="shared" si="10"/>
        <v>1</v>
      </c>
      <c r="U63" s="160">
        <f t="shared" si="11"/>
        <v>2.08</v>
      </c>
      <c r="V63" s="190">
        <f t="shared" si="12"/>
        <v>105.517776</v>
      </c>
      <c r="W63" s="177">
        <f t="shared" ref="W63:X63" si="48">C63/100</f>
        <v>0.98</v>
      </c>
      <c r="X63" s="177">
        <f t="shared" si="48"/>
        <v>2.03</v>
      </c>
      <c r="Y63" s="177">
        <f t="shared" si="14"/>
        <v>2.08</v>
      </c>
      <c r="Z63" s="191">
        <f t="shared" si="15"/>
        <v>4.137952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24</v>
      </c>
      <c r="C64" s="192">
        <v>96.0</v>
      </c>
      <c r="D64" s="192">
        <v>202.0</v>
      </c>
      <c r="E64" s="192">
        <v>199.0</v>
      </c>
      <c r="F64" s="192">
        <f t="shared" si="5"/>
        <v>0</v>
      </c>
      <c r="G64" s="192">
        <f t="shared" si="6"/>
        <v>98.404704</v>
      </c>
      <c r="H64" s="193">
        <f t="shared" si="7"/>
        <v>98.404704</v>
      </c>
      <c r="I64" s="192">
        <v>1.0</v>
      </c>
      <c r="J64" s="194">
        <f t="shared" si="8"/>
        <v>98.404704</v>
      </c>
      <c r="K64" s="139"/>
      <c r="L64" s="195"/>
      <c r="M64" s="196">
        <f t="shared" si="18"/>
        <v>1</v>
      </c>
      <c r="N64" s="196"/>
      <c r="O64" s="139"/>
      <c r="P64" s="139"/>
      <c r="Q64" s="177">
        <v>100.0</v>
      </c>
      <c r="R64" s="189">
        <v>25.5</v>
      </c>
      <c r="S64" s="177">
        <f t="shared" si="9"/>
        <v>1.99</v>
      </c>
      <c r="T64" s="160">
        <f t="shared" si="10"/>
        <v>1</v>
      </c>
      <c r="U64" s="160">
        <f t="shared" si="11"/>
        <v>1.99</v>
      </c>
      <c r="V64" s="190">
        <f t="shared" si="12"/>
        <v>98.404704</v>
      </c>
      <c r="W64" s="177">
        <f t="shared" ref="W64:X64" si="49">C64/100</f>
        <v>0.96</v>
      </c>
      <c r="X64" s="177">
        <f t="shared" si="49"/>
        <v>2.02</v>
      </c>
      <c r="Y64" s="177">
        <f t="shared" si="14"/>
        <v>1.99</v>
      </c>
      <c r="Z64" s="191">
        <f t="shared" si="15"/>
        <v>3.859008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24</v>
      </c>
      <c r="C65" s="192">
        <v>95.0</v>
      </c>
      <c r="D65" s="192">
        <v>200.0</v>
      </c>
      <c r="E65" s="192">
        <v>130.0</v>
      </c>
      <c r="F65" s="192">
        <f t="shared" si="5"/>
        <v>0</v>
      </c>
      <c r="G65" s="192">
        <f t="shared" si="6"/>
        <v>62.985</v>
      </c>
      <c r="H65" s="193">
        <f t="shared" si="7"/>
        <v>62.985</v>
      </c>
      <c r="I65" s="192">
        <v>1.0</v>
      </c>
      <c r="J65" s="194">
        <f t="shared" si="8"/>
        <v>62.985</v>
      </c>
      <c r="K65" s="139"/>
      <c r="L65" s="195"/>
      <c r="M65" s="196">
        <f t="shared" si="18"/>
        <v>1</v>
      </c>
      <c r="N65" s="196"/>
      <c r="O65" s="139"/>
      <c r="P65" s="139"/>
      <c r="Q65" s="177">
        <v>93.0</v>
      </c>
      <c r="R65" s="189">
        <v>25.5</v>
      </c>
      <c r="S65" s="177">
        <f t="shared" si="9"/>
        <v>1.3</v>
      </c>
      <c r="T65" s="160">
        <f t="shared" si="10"/>
        <v>1</v>
      </c>
      <c r="U65" s="160">
        <f t="shared" si="11"/>
        <v>1.3</v>
      </c>
      <c r="V65" s="190">
        <f t="shared" si="12"/>
        <v>62.985</v>
      </c>
      <c r="W65" s="177">
        <f t="shared" ref="W65:X65" si="50">C65/100</f>
        <v>0.95</v>
      </c>
      <c r="X65" s="177">
        <f t="shared" si="50"/>
        <v>2</v>
      </c>
      <c r="Y65" s="177">
        <f t="shared" si="14"/>
        <v>1.3</v>
      </c>
      <c r="Z65" s="191">
        <f t="shared" si="15"/>
        <v>2.47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24</v>
      </c>
      <c r="C66" s="192">
        <v>98.0</v>
      </c>
      <c r="D66" s="192">
        <v>199.0</v>
      </c>
      <c r="E66" s="192">
        <v>2870.0</v>
      </c>
      <c r="F66" s="192">
        <f t="shared" si="5"/>
        <v>0</v>
      </c>
      <c r="G66" s="192">
        <f t="shared" si="6"/>
        <v>1427.25387</v>
      </c>
      <c r="H66" s="193">
        <f t="shared" si="7"/>
        <v>1427.25387</v>
      </c>
      <c r="I66" s="192">
        <v>1.0</v>
      </c>
      <c r="J66" s="194">
        <f t="shared" si="8"/>
        <v>1427.25387</v>
      </c>
      <c r="K66" s="139"/>
      <c r="L66" s="195"/>
      <c r="M66" s="196">
        <f t="shared" si="18"/>
        <v>1</v>
      </c>
      <c r="N66" s="196"/>
      <c r="O66" s="139"/>
      <c r="P66" s="139"/>
      <c r="Q66" s="177">
        <v>1395.0</v>
      </c>
      <c r="R66" s="189">
        <v>25.5</v>
      </c>
      <c r="S66" s="177">
        <f t="shared" si="9"/>
        <v>28.7</v>
      </c>
      <c r="T66" s="160">
        <f t="shared" si="10"/>
        <v>1</v>
      </c>
      <c r="U66" s="160">
        <f t="shared" si="11"/>
        <v>28.7</v>
      </c>
      <c r="V66" s="190">
        <f t="shared" si="12"/>
        <v>1427.25387</v>
      </c>
      <c r="W66" s="177">
        <f t="shared" ref="W66:X66" si="51">C66/100</f>
        <v>0.98</v>
      </c>
      <c r="X66" s="177">
        <f t="shared" si="51"/>
        <v>1.99</v>
      </c>
      <c r="Y66" s="177">
        <f t="shared" si="14"/>
        <v>28.7</v>
      </c>
      <c r="Z66" s="191">
        <f t="shared" si="15"/>
        <v>55.97074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24</v>
      </c>
      <c r="C67" s="192">
        <v>97.0</v>
      </c>
      <c r="D67" s="192">
        <v>199.0</v>
      </c>
      <c r="E67" s="192">
        <v>2867.0</v>
      </c>
      <c r="F67" s="192">
        <f t="shared" si="5"/>
        <v>0</v>
      </c>
      <c r="G67" s="192">
        <f t="shared" si="6"/>
        <v>1411.213376</v>
      </c>
      <c r="H67" s="193">
        <f t="shared" si="7"/>
        <v>1411.213376</v>
      </c>
      <c r="I67" s="192">
        <v>1.0</v>
      </c>
      <c r="J67" s="194">
        <f t="shared" si="8"/>
        <v>1411.213376</v>
      </c>
      <c r="K67" s="139"/>
      <c r="L67" s="195"/>
      <c r="M67" s="196">
        <f t="shared" si="18"/>
        <v>1</v>
      </c>
      <c r="N67" s="196"/>
      <c r="O67" s="139"/>
      <c r="P67" s="139"/>
      <c r="Q67" s="177">
        <v>1385.0</v>
      </c>
      <c r="R67" s="189">
        <v>25.5</v>
      </c>
      <c r="S67" s="177">
        <f t="shared" si="9"/>
        <v>28.67</v>
      </c>
      <c r="T67" s="160">
        <f t="shared" si="10"/>
        <v>1</v>
      </c>
      <c r="U67" s="160">
        <f t="shared" si="11"/>
        <v>28.67</v>
      </c>
      <c r="V67" s="190">
        <f t="shared" si="12"/>
        <v>1411.213376</v>
      </c>
      <c r="W67" s="177">
        <f t="shared" ref="W67:X67" si="52">C67/100</f>
        <v>0.97</v>
      </c>
      <c r="X67" s="177">
        <f t="shared" si="52"/>
        <v>1.99</v>
      </c>
      <c r="Y67" s="177">
        <f t="shared" si="14"/>
        <v>28.67</v>
      </c>
      <c r="Z67" s="191">
        <f t="shared" si="15"/>
        <v>55.341701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24</v>
      </c>
      <c r="C68" s="192">
        <v>98.0</v>
      </c>
      <c r="D68" s="192">
        <v>199.0</v>
      </c>
      <c r="E68" s="192">
        <v>2865.0</v>
      </c>
      <c r="F68" s="192">
        <f t="shared" si="5"/>
        <v>0</v>
      </c>
      <c r="G68" s="192">
        <f t="shared" si="6"/>
        <v>1424.767365</v>
      </c>
      <c r="H68" s="193">
        <f t="shared" si="7"/>
        <v>1424.767365</v>
      </c>
      <c r="I68" s="192">
        <v>1.0</v>
      </c>
      <c r="J68" s="194">
        <f t="shared" si="8"/>
        <v>1424.767365</v>
      </c>
      <c r="K68" s="139"/>
      <c r="L68" s="195"/>
      <c r="M68" s="196">
        <f t="shared" si="18"/>
        <v>1</v>
      </c>
      <c r="N68" s="196"/>
      <c r="O68" s="139"/>
      <c r="P68" s="139"/>
      <c r="Q68" s="177">
        <v>1415.0</v>
      </c>
      <c r="R68" s="189">
        <v>25.5</v>
      </c>
      <c r="S68" s="177">
        <f t="shared" si="9"/>
        <v>28.65</v>
      </c>
      <c r="T68" s="160">
        <f t="shared" si="10"/>
        <v>1</v>
      </c>
      <c r="U68" s="160">
        <f t="shared" si="11"/>
        <v>28.65</v>
      </c>
      <c r="V68" s="190">
        <f t="shared" si="12"/>
        <v>1424.767365</v>
      </c>
      <c r="W68" s="177">
        <f t="shared" ref="W68:X68" si="53">C68/100</f>
        <v>0.98</v>
      </c>
      <c r="X68" s="177">
        <f t="shared" si="53"/>
        <v>1.99</v>
      </c>
      <c r="Y68" s="177">
        <f t="shared" si="14"/>
        <v>28.65</v>
      </c>
      <c r="Z68" s="191">
        <f t="shared" si="15"/>
        <v>55.87323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24</v>
      </c>
      <c r="C69" s="192">
        <v>99.0</v>
      </c>
      <c r="D69" s="192">
        <v>199.0</v>
      </c>
      <c r="E69" s="192">
        <v>2861.0</v>
      </c>
      <c r="F69" s="192">
        <f t="shared" si="5"/>
        <v>0</v>
      </c>
      <c r="G69" s="192">
        <f t="shared" si="6"/>
        <v>1437.296306</v>
      </c>
      <c r="H69" s="193">
        <f t="shared" si="7"/>
        <v>1437.296306</v>
      </c>
      <c r="I69" s="192">
        <v>1.0</v>
      </c>
      <c r="J69" s="194">
        <f t="shared" si="8"/>
        <v>1437.296306</v>
      </c>
      <c r="K69" s="139"/>
      <c r="L69" s="195"/>
      <c r="M69" s="196">
        <f t="shared" si="18"/>
        <v>1</v>
      </c>
      <c r="N69" s="196"/>
      <c r="O69" s="139"/>
      <c r="P69" s="139"/>
      <c r="Q69" s="177">
        <v>1410.0</v>
      </c>
      <c r="R69" s="189">
        <v>25.5</v>
      </c>
      <c r="S69" s="177">
        <f t="shared" si="9"/>
        <v>28.61</v>
      </c>
      <c r="T69" s="160">
        <f t="shared" si="10"/>
        <v>1</v>
      </c>
      <c r="U69" s="160">
        <f t="shared" si="11"/>
        <v>28.61</v>
      </c>
      <c r="V69" s="190">
        <f t="shared" si="12"/>
        <v>1437.296306</v>
      </c>
      <c r="W69" s="177">
        <f t="shared" ref="W69:X69" si="54">C69/100</f>
        <v>0.99</v>
      </c>
      <c r="X69" s="177">
        <f t="shared" si="54"/>
        <v>1.99</v>
      </c>
      <c r="Y69" s="177">
        <f t="shared" si="14"/>
        <v>28.61</v>
      </c>
      <c r="Z69" s="191">
        <f t="shared" si="15"/>
        <v>56.364561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24</v>
      </c>
      <c r="C70" s="192">
        <v>97.0</v>
      </c>
      <c r="D70" s="192">
        <v>199.0</v>
      </c>
      <c r="E70" s="192">
        <v>1770.0</v>
      </c>
      <c r="F70" s="192">
        <f t="shared" si="5"/>
        <v>0</v>
      </c>
      <c r="G70" s="192">
        <f t="shared" si="6"/>
        <v>871.240905</v>
      </c>
      <c r="H70" s="193">
        <f t="shared" si="7"/>
        <v>871.240905</v>
      </c>
      <c r="I70" s="192">
        <v>1.0</v>
      </c>
      <c r="J70" s="194">
        <f t="shared" si="8"/>
        <v>871.240905</v>
      </c>
      <c r="K70" s="139"/>
      <c r="L70" s="195"/>
      <c r="M70" s="196"/>
      <c r="N70" s="196"/>
      <c r="O70" s="139"/>
      <c r="P70" s="139"/>
      <c r="Q70" s="177">
        <v>860.0</v>
      </c>
      <c r="R70" s="189">
        <v>25.5</v>
      </c>
      <c r="S70" s="177">
        <f t="shared" si="9"/>
        <v>17.7</v>
      </c>
      <c r="T70" s="160">
        <f t="shared" si="10"/>
        <v>1</v>
      </c>
      <c r="U70" s="160">
        <f t="shared" si="11"/>
        <v>17.7</v>
      </c>
      <c r="V70" s="190">
        <f t="shared" si="12"/>
        <v>871.240905</v>
      </c>
      <c r="W70" s="177">
        <f t="shared" ref="W70:X70" si="55">C70/100</f>
        <v>0.97</v>
      </c>
      <c r="X70" s="177">
        <f t="shared" si="55"/>
        <v>1.99</v>
      </c>
      <c r="Y70" s="177">
        <f t="shared" si="14"/>
        <v>17.7</v>
      </c>
      <c r="Z70" s="191">
        <f t="shared" si="15"/>
        <v>34.16631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24</v>
      </c>
      <c r="C71" s="192">
        <v>106.0</v>
      </c>
      <c r="D71" s="192">
        <v>199.0</v>
      </c>
      <c r="E71" s="192">
        <v>2862.0</v>
      </c>
      <c r="F71" s="192">
        <f t="shared" si="5"/>
        <v>0</v>
      </c>
      <c r="G71" s="192">
        <f t="shared" si="6"/>
        <v>1539.461214</v>
      </c>
      <c r="H71" s="193">
        <f t="shared" si="7"/>
        <v>1539.461214</v>
      </c>
      <c r="I71" s="192">
        <v>1.0</v>
      </c>
      <c r="J71" s="194">
        <f t="shared" si="8"/>
        <v>1539.461214</v>
      </c>
      <c r="K71" s="139"/>
      <c r="L71" s="195"/>
      <c r="M71" s="196"/>
      <c r="N71" s="196"/>
      <c r="O71" s="139"/>
      <c r="P71" s="139"/>
      <c r="Q71" s="177">
        <v>1420.0</v>
      </c>
      <c r="R71" s="189">
        <v>25.5</v>
      </c>
      <c r="S71" s="177">
        <f t="shared" si="9"/>
        <v>28.62</v>
      </c>
      <c r="T71" s="160">
        <f t="shared" si="10"/>
        <v>1</v>
      </c>
      <c r="U71" s="160">
        <f t="shared" si="11"/>
        <v>28.62</v>
      </c>
      <c r="V71" s="190">
        <f t="shared" si="12"/>
        <v>1539.461214</v>
      </c>
      <c r="W71" s="177">
        <f t="shared" ref="W71:X71" si="56">C71/100</f>
        <v>1.06</v>
      </c>
      <c r="X71" s="177">
        <f t="shared" si="56"/>
        <v>1.99</v>
      </c>
      <c r="Y71" s="177">
        <f t="shared" si="14"/>
        <v>28.62</v>
      </c>
      <c r="Z71" s="191">
        <f t="shared" si="15"/>
        <v>60.371028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3">C78/100</f>
        <v>0</v>
      </c>
      <c r="X78" s="177">
        <f t="shared" si="63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4">C79/100</f>
        <v>0</v>
      </c>
      <c r="X79" s="177">
        <f t="shared" si="64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5">C80/100</f>
        <v>0</v>
      </c>
      <c r="X80" s="177">
        <f t="shared" si="65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77">
        <f t="shared" ref="L81:L82" si="67">D81*25.4/1000</f>
        <v>0</v>
      </c>
      <c r="M81" s="160" t="str">
        <f t="shared" ref="M81:M96" si="68">+I81</f>
        <v/>
      </c>
      <c r="N81" s="160">
        <f t="shared" ref="N81:N82" si="69">M81*L81</f>
        <v>0</v>
      </c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6">C81/100</f>
        <v>0</v>
      </c>
      <c r="X81" s="177">
        <f t="shared" si="66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>
        <f t="shared" si="67"/>
        <v>0</v>
      </c>
      <c r="M82" s="196" t="str">
        <f t="shared" si="68"/>
        <v/>
      </c>
      <c r="N82" s="196">
        <f t="shared" si="69"/>
        <v>0</v>
      </c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8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8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8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8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8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8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8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7">C89/100</f>
        <v>0</v>
      </c>
      <c r="X89" s="177">
        <f t="shared" si="77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8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8">C90/100</f>
        <v>0</v>
      </c>
      <c r="X90" s="177">
        <f t="shared" si="78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8"/>
        <v/>
      </c>
      <c r="N91" s="196"/>
      <c r="O91" s="139"/>
      <c r="P91" s="139"/>
      <c r="Q91" s="177"/>
      <c r="R91" s="141"/>
      <c r="S91" s="177">
        <f t="shared" si="9"/>
        <v>0</v>
      </c>
      <c r="T91" s="160" t="str">
        <f t="shared" si="10"/>
        <v/>
      </c>
      <c r="U91" s="160">
        <f t="shared" si="11"/>
        <v>0</v>
      </c>
      <c r="V91" s="190">
        <f t="shared" si="12"/>
        <v>0</v>
      </c>
      <c r="W91" s="177">
        <f t="shared" ref="W91:X91" si="79">C91/100</f>
        <v>0</v>
      </c>
      <c r="X91" s="177">
        <f t="shared" si="79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8"/>
        <v/>
      </c>
      <c r="N92" s="196"/>
      <c r="O92" s="139"/>
      <c r="P92" s="139"/>
      <c r="Q92" s="177"/>
      <c r="R92" s="141"/>
      <c r="S92" s="177">
        <f t="shared" si="9"/>
        <v>0</v>
      </c>
      <c r="T92" s="160" t="str">
        <f t="shared" si="10"/>
        <v/>
      </c>
      <c r="U92" s="160">
        <f t="shared" si="11"/>
        <v>0</v>
      </c>
      <c r="V92" s="190">
        <f t="shared" si="12"/>
        <v>0</v>
      </c>
      <c r="W92" s="177">
        <f t="shared" ref="W92:X92" si="80">C92/100</f>
        <v>0</v>
      </c>
      <c r="X92" s="177">
        <f t="shared" si="80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8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68"/>
        <v/>
      </c>
      <c r="N94" s="196"/>
      <c r="O94" s="139"/>
      <c r="P94" s="139"/>
      <c r="Q94" s="177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199">
        <f t="shared" si="12"/>
        <v>0</v>
      </c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 t="str">
        <f t="shared" si="68"/>
        <v/>
      </c>
      <c r="N95" s="196"/>
      <c r="O95" s="139"/>
      <c r="P95" s="139"/>
      <c r="Q95" s="177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199">
        <f t="shared" si="12"/>
        <v>0</v>
      </c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 t="str">
        <f t="shared" si="68"/>
        <v/>
      </c>
      <c r="N96" s="196"/>
      <c r="O96" s="139"/>
      <c r="P96" s="139"/>
      <c r="Q96" s="177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199">
        <f t="shared" si="12"/>
        <v>0</v>
      </c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188.0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189.0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190.0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191.0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192.0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193.0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194.0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195.0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196.0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197.0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198.0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199.0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200.0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201.0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202.0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203.0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204.0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205.0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206.0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207.0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208.0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209.0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210.0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211.0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212.0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213.0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214.0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215.0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4">C236/100</f>
        <v>0</v>
      </c>
      <c r="X236" s="197">
        <f t="shared" si="224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216.0</v>
      </c>
      <c r="B237" s="192"/>
      <c r="C237" s="192"/>
      <c r="D237" s="192"/>
      <c r="E237" s="192"/>
      <c r="F237" s="192">
        <f t="shared" si="5"/>
        <v>0</v>
      </c>
      <c r="G237" s="192">
        <f t="shared" si="6"/>
        <v>0</v>
      </c>
      <c r="H237" s="193">
        <f t="shared" si="7"/>
        <v>0</v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5">C237/100</f>
        <v>0</v>
      </c>
      <c r="X237" s="197">
        <f t="shared" si="225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217.0</v>
      </c>
      <c r="B238" s="192"/>
      <c r="C238" s="192"/>
      <c r="D238" s="192"/>
      <c r="E238" s="192"/>
      <c r="F238" s="192">
        <f t="shared" si="5"/>
        <v>0</v>
      </c>
      <c r="G238" s="192">
        <f t="shared" si="6"/>
        <v>0</v>
      </c>
      <c r="H238" s="193">
        <f t="shared" si="7"/>
        <v>0</v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9"/>
        <v>0</v>
      </c>
      <c r="T238" s="198" t="str">
        <f t="shared" si="10"/>
        <v/>
      </c>
      <c r="U238" s="198">
        <f t="shared" si="11"/>
        <v>0</v>
      </c>
      <c r="V238" s="201"/>
      <c r="W238" s="197">
        <f t="shared" ref="W238:X238" si="226">C238/100</f>
        <v>0</v>
      </c>
      <c r="X238" s="197">
        <f t="shared" si="226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77"/>
      <c r="C239" s="177"/>
      <c r="D239" s="177"/>
      <c r="E239" s="177"/>
      <c r="F239" s="177"/>
      <c r="G239" s="177"/>
      <c r="H239" s="180"/>
      <c r="I239" s="160"/>
      <c r="J239" s="202">
        <f>+Q280</f>
        <v>138.4</v>
      </c>
      <c r="K239" s="139"/>
      <c r="L239" s="139"/>
      <c r="M239" s="139"/>
      <c r="N239" s="139"/>
      <c r="O239" s="139"/>
      <c r="P239" s="139"/>
      <c r="Q239" s="139"/>
      <c r="R239" s="203"/>
      <c r="S239" s="197">
        <f t="shared" si="9"/>
        <v>0</v>
      </c>
      <c r="T239" s="198" t="str">
        <f t="shared" si="10"/>
        <v/>
      </c>
      <c r="U239" s="198">
        <f t="shared" si="11"/>
        <v>0</v>
      </c>
      <c r="V239" s="201"/>
      <c r="W239" s="197">
        <f t="shared" ref="W239:X239" si="227">C239/100</f>
        <v>0</v>
      </c>
      <c r="X239" s="197">
        <f t="shared" si="227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60"/>
      <c r="B240" s="204"/>
      <c r="C240" s="204"/>
      <c r="D240" s="204"/>
      <c r="E240" s="204"/>
      <c r="F240" s="204"/>
      <c r="G240" s="204"/>
      <c r="H240" s="205"/>
      <c r="I240" s="206">
        <f>SUM(I32:I238)</f>
        <v>40</v>
      </c>
      <c r="J240" s="207">
        <f>SUM(J32:J239)</f>
        <v>27051.12558</v>
      </c>
      <c r="K240" s="208"/>
      <c r="L240" s="208"/>
      <c r="M240" s="208"/>
      <c r="N240" s="208"/>
      <c r="O240" s="208"/>
      <c r="P240" s="208"/>
      <c r="Q240" s="208"/>
      <c r="R240" s="141"/>
      <c r="S240" s="208">
        <f>SUMIFS($T$32:$T$238,$S$32:$S$238,"&gt;=3")</f>
        <v>18</v>
      </c>
      <c r="T240" s="208">
        <f t="shared" ref="T240:U240" si="228">SUM(T32:T238)</f>
        <v>40</v>
      </c>
      <c r="U240" s="208">
        <f t="shared" si="228"/>
        <v>542.49</v>
      </c>
      <c r="V240" s="208"/>
      <c r="W240" s="208"/>
      <c r="X240" s="208"/>
      <c r="Y240" s="208"/>
      <c r="Z240" s="209">
        <f>SUM(Z32:Z239)</f>
        <v>1124.443295</v>
      </c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  <c r="AO240" s="208"/>
      <c r="AP240" s="208"/>
      <c r="AQ240" s="208"/>
      <c r="AR240" s="208"/>
      <c r="AS240" s="208"/>
      <c r="AT240" s="208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201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139" t="s">
        <v>48</v>
      </c>
      <c r="U242" s="139" t="s">
        <v>59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31</v>
      </c>
      <c r="T243" s="210">
        <f>SUMIFS($J$32:$J$238,$S$32:$S$238,"&gt;=3")</f>
        <v>25054.68657</v>
      </c>
      <c r="U243" s="211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 t="s">
        <v>32</v>
      </c>
      <c r="B244" s="139"/>
      <c r="C244" s="139"/>
      <c r="D244" s="139" t="s">
        <v>33</v>
      </c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34</v>
      </c>
      <c r="T244" s="212">
        <f>J240-T243</f>
        <v>1996.439015</v>
      </c>
      <c r="U244" s="211">
        <f>+SUMIFS($U$32:$U$238,$S$32:$S$238,"&gt;=3")</f>
        <v>504.51</v>
      </c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213">
        <f>+I240</f>
        <v>40</v>
      </c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39.0" customHeight="1">
      <c r="A246" s="177"/>
      <c r="B246" s="160" t="s">
        <v>12</v>
      </c>
      <c r="C246" s="178" t="s">
        <v>60</v>
      </c>
      <c r="D246" s="52"/>
      <c r="E246" s="53"/>
      <c r="F246" s="179"/>
      <c r="G246" s="179"/>
      <c r="H246" s="180" t="s">
        <v>14</v>
      </c>
      <c r="I246" s="160" t="s">
        <v>15</v>
      </c>
      <c r="J246" s="160" t="s">
        <v>16</v>
      </c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1.0</v>
      </c>
      <c r="B247" s="214"/>
      <c r="C247" s="214"/>
      <c r="D247" s="214"/>
      <c r="E247" s="214"/>
      <c r="F247" s="214">
        <f t="shared" ref="F247:F260" si="229">1-VALUE(IF(RIGHT(B247, 1)="%", RIGHT(B247, 3), 0))</f>
        <v>1</v>
      </c>
      <c r="G247" s="214">
        <f t="shared" ref="G247:G260" si="230">+Q247*C247/100*D247/100*E247/100</f>
        <v>0</v>
      </c>
      <c r="H247" s="215">
        <f t="shared" ref="H247:H260" si="231">IF(F247=0, G247, F247*G247)</f>
        <v>0</v>
      </c>
      <c r="I247" s="214"/>
      <c r="J247" s="216"/>
      <c r="K247" s="139"/>
      <c r="L247" s="177">
        <f t="shared" ref="L247:L255" si="232">D247*25.4/1000</f>
        <v>0</v>
      </c>
      <c r="M247" s="160" t="str">
        <f t="shared" ref="M247:M251" si="233">+I247</f>
        <v/>
      </c>
      <c r="N247" s="160">
        <f t="shared" ref="N247:N251" si="234">M247*L247</f>
        <v>0</v>
      </c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2.0</v>
      </c>
      <c r="B248" s="214"/>
      <c r="C248" s="214"/>
      <c r="D248" s="214"/>
      <c r="E248" s="214"/>
      <c r="F248" s="214">
        <f t="shared" si="229"/>
        <v>1</v>
      </c>
      <c r="G248" s="214">
        <f t="shared" si="230"/>
        <v>0</v>
      </c>
      <c r="H248" s="215">
        <f t="shared" si="231"/>
        <v>0</v>
      </c>
      <c r="I248" s="214"/>
      <c r="J248" s="216">
        <f t="shared" ref="J248:J260" si="235">+I248*H248</f>
        <v>0</v>
      </c>
      <c r="K248" s="139"/>
      <c r="L248" s="177">
        <f t="shared" si="232"/>
        <v>0</v>
      </c>
      <c r="M248" s="160" t="str">
        <f t="shared" si="233"/>
        <v/>
      </c>
      <c r="N248" s="160">
        <f t="shared" si="234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>
        <v>3.0</v>
      </c>
      <c r="B249" s="217"/>
      <c r="C249" s="217"/>
      <c r="D249" s="217"/>
      <c r="E249" s="217"/>
      <c r="F249" s="217">
        <f t="shared" si="229"/>
        <v>1</v>
      </c>
      <c r="G249" s="217">
        <f t="shared" si="230"/>
        <v>0</v>
      </c>
      <c r="H249" s="218">
        <f t="shared" si="231"/>
        <v>0</v>
      </c>
      <c r="I249" s="217"/>
      <c r="J249" s="194">
        <f t="shared" si="235"/>
        <v>0</v>
      </c>
      <c r="K249" s="139"/>
      <c r="L249" s="177">
        <f t="shared" si="232"/>
        <v>0</v>
      </c>
      <c r="M249" s="160" t="str">
        <f t="shared" si="233"/>
        <v/>
      </c>
      <c r="N249" s="160">
        <f t="shared" si="234"/>
        <v>0</v>
      </c>
      <c r="O249" s="139"/>
      <c r="P249" s="139"/>
      <c r="Q249" s="139"/>
      <c r="R249" s="13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4.0</v>
      </c>
      <c r="B250" s="217"/>
      <c r="C250" s="217"/>
      <c r="D250" s="217"/>
      <c r="E250" s="217"/>
      <c r="F250" s="217">
        <f t="shared" si="229"/>
        <v>1</v>
      </c>
      <c r="G250" s="217">
        <f t="shared" si="230"/>
        <v>0</v>
      </c>
      <c r="H250" s="218">
        <f t="shared" si="231"/>
        <v>0</v>
      </c>
      <c r="I250" s="217"/>
      <c r="J250" s="194">
        <f t="shared" si="235"/>
        <v>0</v>
      </c>
      <c r="K250" s="139"/>
      <c r="L250" s="177">
        <f t="shared" si="232"/>
        <v>0</v>
      </c>
      <c r="M250" s="160" t="str">
        <f t="shared" si="233"/>
        <v/>
      </c>
      <c r="N250" s="160">
        <f t="shared" si="234"/>
        <v>0</v>
      </c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5.0</v>
      </c>
      <c r="B251" s="217"/>
      <c r="C251" s="217"/>
      <c r="D251" s="217"/>
      <c r="E251" s="217"/>
      <c r="F251" s="217">
        <f t="shared" si="229"/>
        <v>1</v>
      </c>
      <c r="G251" s="217">
        <f t="shared" si="230"/>
        <v>0</v>
      </c>
      <c r="H251" s="218">
        <f t="shared" si="231"/>
        <v>0</v>
      </c>
      <c r="I251" s="217"/>
      <c r="J251" s="194">
        <f t="shared" si="235"/>
        <v>0</v>
      </c>
      <c r="K251" s="139"/>
      <c r="L251" s="177">
        <f t="shared" si="232"/>
        <v>0</v>
      </c>
      <c r="M251" s="160" t="str">
        <f t="shared" si="233"/>
        <v/>
      </c>
      <c r="N251" s="160">
        <f t="shared" si="234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hidden="1" customHeight="1">
      <c r="A252" s="154">
        <v>6.0</v>
      </c>
      <c r="B252" s="217"/>
      <c r="C252" s="217"/>
      <c r="D252" s="217"/>
      <c r="E252" s="217"/>
      <c r="F252" s="217">
        <f t="shared" si="229"/>
        <v>1</v>
      </c>
      <c r="G252" s="217">
        <f t="shared" si="230"/>
        <v>0</v>
      </c>
      <c r="H252" s="218">
        <f t="shared" si="231"/>
        <v>0</v>
      </c>
      <c r="I252" s="217"/>
      <c r="J252" s="194">
        <f t="shared" si="235"/>
        <v>0</v>
      </c>
      <c r="K252" s="139"/>
      <c r="L252" s="139">
        <f t="shared" si="232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7.0</v>
      </c>
      <c r="B253" s="217"/>
      <c r="C253" s="217"/>
      <c r="D253" s="217"/>
      <c r="E253" s="217"/>
      <c r="F253" s="217">
        <f t="shared" si="229"/>
        <v>1</v>
      </c>
      <c r="G253" s="217">
        <f t="shared" si="230"/>
        <v>0</v>
      </c>
      <c r="H253" s="218">
        <f t="shared" si="231"/>
        <v>0</v>
      </c>
      <c r="I253" s="217"/>
      <c r="J253" s="194">
        <f t="shared" si="235"/>
        <v>0</v>
      </c>
      <c r="K253" s="139"/>
      <c r="L253" s="139">
        <f t="shared" si="232"/>
        <v>0</v>
      </c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8.0</v>
      </c>
      <c r="B254" s="217"/>
      <c r="C254" s="217"/>
      <c r="D254" s="217"/>
      <c r="E254" s="217"/>
      <c r="F254" s="217">
        <f t="shared" si="229"/>
        <v>1</v>
      </c>
      <c r="G254" s="217">
        <f t="shared" si="230"/>
        <v>0</v>
      </c>
      <c r="H254" s="218">
        <f t="shared" si="231"/>
        <v>0</v>
      </c>
      <c r="I254" s="217"/>
      <c r="J254" s="194">
        <f t="shared" si="235"/>
        <v>0</v>
      </c>
      <c r="K254" s="139"/>
      <c r="L254" s="139">
        <f t="shared" si="232"/>
        <v>0</v>
      </c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9.0</v>
      </c>
      <c r="B255" s="217"/>
      <c r="C255" s="217"/>
      <c r="D255" s="217"/>
      <c r="E255" s="217"/>
      <c r="F255" s="217">
        <f t="shared" si="229"/>
        <v>1</v>
      </c>
      <c r="G255" s="217">
        <f t="shared" si="230"/>
        <v>0</v>
      </c>
      <c r="H255" s="218">
        <f t="shared" si="231"/>
        <v>0</v>
      </c>
      <c r="I255" s="217"/>
      <c r="J255" s="194">
        <f t="shared" si="235"/>
        <v>0</v>
      </c>
      <c r="K255" s="139"/>
      <c r="L255" s="139">
        <f t="shared" si="232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10.0</v>
      </c>
      <c r="B256" s="192"/>
      <c r="C256" s="192"/>
      <c r="D256" s="192"/>
      <c r="E256" s="192"/>
      <c r="F256" s="192">
        <f t="shared" si="229"/>
        <v>1</v>
      </c>
      <c r="G256" s="192">
        <f t="shared" si="230"/>
        <v>0</v>
      </c>
      <c r="H256" s="193">
        <f t="shared" si="231"/>
        <v>0</v>
      </c>
      <c r="I256" s="192"/>
      <c r="J256" s="194">
        <f t="shared" si="235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11.0</v>
      </c>
      <c r="B257" s="192"/>
      <c r="C257" s="192"/>
      <c r="D257" s="192"/>
      <c r="E257" s="192"/>
      <c r="F257" s="192">
        <f t="shared" si="229"/>
        <v>1</v>
      </c>
      <c r="G257" s="192">
        <f t="shared" si="230"/>
        <v>0</v>
      </c>
      <c r="H257" s="193">
        <f t="shared" si="231"/>
        <v>0</v>
      </c>
      <c r="I257" s="192"/>
      <c r="J257" s="194">
        <f t="shared" si="235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12.0</v>
      </c>
      <c r="B258" s="192"/>
      <c r="C258" s="192"/>
      <c r="D258" s="192"/>
      <c r="E258" s="192"/>
      <c r="F258" s="192">
        <f t="shared" si="229"/>
        <v>1</v>
      </c>
      <c r="G258" s="192">
        <f t="shared" si="230"/>
        <v>0</v>
      </c>
      <c r="H258" s="193">
        <f t="shared" si="231"/>
        <v>0</v>
      </c>
      <c r="I258" s="192"/>
      <c r="J258" s="194">
        <f t="shared" si="235"/>
        <v>0</v>
      </c>
      <c r="K258" s="139"/>
      <c r="L258" s="139"/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13.0</v>
      </c>
      <c r="B259" s="192"/>
      <c r="C259" s="192"/>
      <c r="D259" s="192"/>
      <c r="E259" s="192"/>
      <c r="F259" s="192">
        <f t="shared" si="229"/>
        <v>1</v>
      </c>
      <c r="G259" s="192">
        <f t="shared" si="230"/>
        <v>0</v>
      </c>
      <c r="H259" s="193">
        <f t="shared" si="231"/>
        <v>0</v>
      </c>
      <c r="I259" s="192"/>
      <c r="J259" s="194">
        <f t="shared" si="235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14.0</v>
      </c>
      <c r="B260" s="192"/>
      <c r="C260" s="192"/>
      <c r="D260" s="192"/>
      <c r="E260" s="192"/>
      <c r="F260" s="192">
        <f t="shared" si="229"/>
        <v>1</v>
      </c>
      <c r="G260" s="192">
        <f t="shared" si="230"/>
        <v>0</v>
      </c>
      <c r="H260" s="193">
        <f t="shared" si="231"/>
        <v>0</v>
      </c>
      <c r="I260" s="192"/>
      <c r="J260" s="194">
        <f t="shared" si="235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0"/>
      <c r="B261" s="195"/>
      <c r="C261" s="195"/>
      <c r="D261" s="195"/>
      <c r="E261" s="195"/>
      <c r="F261" s="195"/>
      <c r="G261" s="195"/>
      <c r="H261" s="221" t="s">
        <v>38</v>
      </c>
      <c r="I261" s="195"/>
      <c r="J261" s="222">
        <f>SUM(J247:J260)</f>
        <v>0</v>
      </c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74"/>
      <c r="B262" s="144"/>
      <c r="C262" s="144"/>
      <c r="D262" s="144"/>
      <c r="E262" s="144"/>
      <c r="F262" s="144"/>
      <c r="G262" s="144"/>
      <c r="H262" s="145"/>
      <c r="I262" s="144"/>
      <c r="J262" s="175"/>
      <c r="K262" s="139"/>
      <c r="L262" s="139"/>
      <c r="M262" s="139"/>
      <c r="N262" s="139"/>
      <c r="O262" s="139"/>
      <c r="P262" s="139"/>
      <c r="Q262" s="139"/>
      <c r="R262" s="141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41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 t="s">
        <v>39</v>
      </c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223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42.0" customHeight="1">
      <c r="A267" s="177"/>
      <c r="B267" s="160" t="s">
        <v>12</v>
      </c>
      <c r="C267" s="178" t="s">
        <v>61</v>
      </c>
      <c r="D267" s="52"/>
      <c r="E267" s="53"/>
      <c r="F267" s="224"/>
      <c r="G267" s="224"/>
      <c r="H267" s="180" t="s">
        <v>14</v>
      </c>
      <c r="I267" s="225" t="s">
        <v>15</v>
      </c>
      <c r="J267" s="160" t="s">
        <v>16</v>
      </c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customHeight="1">
      <c r="A268" s="160">
        <v>1.0</v>
      </c>
      <c r="B268" s="182" t="s">
        <v>82</v>
      </c>
      <c r="C268" s="198"/>
      <c r="D268" s="198"/>
      <c r="E268" s="198"/>
      <c r="F268" s="198"/>
      <c r="G268" s="198"/>
      <c r="H268" s="226">
        <v>34.0</v>
      </c>
      <c r="I268" s="198">
        <v>1.0</v>
      </c>
      <c r="J268" s="194">
        <f t="shared" ref="J268:J278" si="236">+I268*H268</f>
        <v>34</v>
      </c>
      <c r="K268" s="177"/>
      <c r="L268" s="177"/>
      <c r="M268" s="177"/>
      <c r="N268" s="177"/>
      <c r="O268" s="177"/>
      <c r="P268" s="177"/>
      <c r="Q268" s="227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2.0</v>
      </c>
      <c r="B269" s="192" t="s">
        <v>82</v>
      </c>
      <c r="C269" s="198"/>
      <c r="D269" s="198"/>
      <c r="E269" s="198"/>
      <c r="F269" s="198"/>
      <c r="G269" s="198"/>
      <c r="H269" s="226">
        <v>27.0</v>
      </c>
      <c r="I269" s="198">
        <v>1.0</v>
      </c>
      <c r="J269" s="194">
        <f t="shared" si="236"/>
        <v>27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3.0</v>
      </c>
      <c r="B270" s="182" t="s">
        <v>26</v>
      </c>
      <c r="C270" s="198"/>
      <c r="D270" s="198"/>
      <c r="E270" s="198"/>
      <c r="F270" s="198"/>
      <c r="G270" s="198"/>
      <c r="H270" s="226">
        <v>27.0</v>
      </c>
      <c r="I270" s="198">
        <v>1.0</v>
      </c>
      <c r="J270" s="194">
        <f t="shared" si="236"/>
        <v>27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4.0</v>
      </c>
      <c r="B271" s="192" t="s">
        <v>26</v>
      </c>
      <c r="C271" s="198"/>
      <c r="D271" s="198"/>
      <c r="E271" s="198"/>
      <c r="F271" s="198"/>
      <c r="G271" s="198"/>
      <c r="H271" s="226">
        <v>24.0</v>
      </c>
      <c r="I271" s="198">
        <v>1.0</v>
      </c>
      <c r="J271" s="194">
        <f t="shared" si="236"/>
        <v>24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5.0</v>
      </c>
      <c r="B272" s="182" t="s">
        <v>83</v>
      </c>
      <c r="C272" s="198"/>
      <c r="D272" s="198"/>
      <c r="E272" s="198"/>
      <c r="F272" s="198"/>
      <c r="G272" s="198"/>
      <c r="H272" s="226">
        <v>40.0</v>
      </c>
      <c r="I272" s="198">
        <v>1.0</v>
      </c>
      <c r="J272" s="194">
        <f t="shared" si="236"/>
        <v>40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6.0</v>
      </c>
      <c r="B273" s="192" t="s">
        <v>83</v>
      </c>
      <c r="C273" s="198"/>
      <c r="D273" s="198"/>
      <c r="E273" s="198"/>
      <c r="F273" s="198"/>
      <c r="G273" s="198"/>
      <c r="H273" s="226">
        <v>31.0</v>
      </c>
      <c r="I273" s="198">
        <v>1.0</v>
      </c>
      <c r="J273" s="194">
        <f t="shared" si="236"/>
        <v>31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7.0</v>
      </c>
      <c r="B274" s="182" t="s">
        <v>84</v>
      </c>
      <c r="C274" s="198"/>
      <c r="D274" s="198"/>
      <c r="E274" s="198"/>
      <c r="F274" s="198"/>
      <c r="G274" s="198"/>
      <c r="H274" s="226">
        <v>48.0</v>
      </c>
      <c r="I274" s="198">
        <v>1.0</v>
      </c>
      <c r="J274" s="194">
        <f t="shared" si="236"/>
        <v>48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8.0</v>
      </c>
      <c r="B275" s="192" t="s">
        <v>84</v>
      </c>
      <c r="C275" s="198"/>
      <c r="D275" s="198"/>
      <c r="E275" s="198"/>
      <c r="F275" s="198"/>
      <c r="G275" s="198"/>
      <c r="H275" s="226">
        <v>27.0</v>
      </c>
      <c r="I275" s="198">
        <v>1.0</v>
      </c>
      <c r="J275" s="194">
        <f t="shared" si="236"/>
        <v>27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9.0</v>
      </c>
      <c r="B276" s="182" t="s">
        <v>85</v>
      </c>
      <c r="C276" s="198"/>
      <c r="D276" s="198"/>
      <c r="E276" s="198"/>
      <c r="F276" s="198"/>
      <c r="G276" s="198"/>
      <c r="H276" s="226">
        <v>31.0</v>
      </c>
      <c r="I276" s="198">
        <v>1.0</v>
      </c>
      <c r="J276" s="194">
        <f t="shared" si="236"/>
        <v>31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11.0</v>
      </c>
      <c r="B277" s="182" t="s">
        <v>24</v>
      </c>
      <c r="C277" s="198"/>
      <c r="D277" s="198"/>
      <c r="E277" s="198"/>
      <c r="F277" s="198"/>
      <c r="G277" s="198"/>
      <c r="H277" s="226">
        <v>33.0</v>
      </c>
      <c r="I277" s="198">
        <v>1.0</v>
      </c>
      <c r="J277" s="194">
        <f t="shared" si="236"/>
        <v>33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12.0</v>
      </c>
      <c r="B278" s="192" t="s">
        <v>24</v>
      </c>
      <c r="C278" s="198"/>
      <c r="D278" s="198"/>
      <c r="E278" s="198"/>
      <c r="F278" s="198"/>
      <c r="G278" s="198"/>
      <c r="H278" s="226">
        <v>24.0</v>
      </c>
      <c r="I278" s="198">
        <v>1.0</v>
      </c>
      <c r="J278" s="194">
        <f t="shared" si="236"/>
        <v>24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 t="s">
        <v>38</v>
      </c>
      <c r="I279" s="139"/>
      <c r="J279" s="232">
        <f>SUM(J268:J278)</f>
        <v>346</v>
      </c>
      <c r="K279" s="233"/>
      <c r="L279" s="233"/>
      <c r="M279" s="233"/>
      <c r="N279" s="233"/>
      <c r="O279" s="233"/>
      <c r="P279" s="233"/>
      <c r="Q279" s="233"/>
      <c r="R279" s="139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44"/>
      <c r="B280" s="144"/>
      <c r="C280" s="144"/>
      <c r="D280" s="144"/>
      <c r="E280" s="144"/>
      <c r="F280" s="144"/>
      <c r="G280" s="144"/>
      <c r="H280" s="145"/>
      <c r="I280" s="173"/>
      <c r="J280" s="204">
        <f>+J279*60%</f>
        <v>207.6</v>
      </c>
      <c r="K280" s="204"/>
      <c r="L280" s="204"/>
      <c r="M280" s="204"/>
      <c r="N280" s="204"/>
      <c r="O280" s="204"/>
      <c r="P280" s="204"/>
      <c r="Q280" s="204">
        <f>+J279*40%</f>
        <v>138.4</v>
      </c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234" t="s">
        <v>41</v>
      </c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57.0" customHeight="1">
      <c r="A284" s="235"/>
      <c r="B284" s="236" t="s">
        <v>42</v>
      </c>
      <c r="C284" s="236" t="s">
        <v>43</v>
      </c>
      <c r="D284" s="236" t="s">
        <v>44</v>
      </c>
      <c r="E284" s="236" t="s">
        <v>45</v>
      </c>
      <c r="F284" s="236"/>
      <c r="G284" s="236"/>
      <c r="H284" s="237" t="s">
        <v>46</v>
      </c>
      <c r="I284" s="238" t="s">
        <v>47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39" t="s">
        <v>48</v>
      </c>
      <c r="B285" s="240">
        <f>+E25</f>
        <v>29139.1067</v>
      </c>
      <c r="C285" s="241">
        <f>+J240</f>
        <v>27051.12558</v>
      </c>
      <c r="D285" s="241">
        <f>+J261</f>
        <v>0</v>
      </c>
      <c r="E285" s="242">
        <f>J280</f>
        <v>207.6</v>
      </c>
      <c r="F285" s="242"/>
      <c r="G285" s="242"/>
      <c r="H285" s="243">
        <f>+I25</f>
        <v>1934.668467</v>
      </c>
      <c r="I285" s="244">
        <f>+B285-C285-D285-E285-H285</f>
        <v>-54.28735136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45" t="s">
        <v>49</v>
      </c>
      <c r="B286" s="246"/>
      <c r="C286" s="247">
        <f>+C285/B285</f>
        <v>0.9283443677</v>
      </c>
      <c r="D286" s="247">
        <f>+D285/B285</f>
        <v>0</v>
      </c>
      <c r="E286" s="247">
        <f>+E285/B285</f>
        <v>0.007124446269</v>
      </c>
      <c r="F286" s="247"/>
      <c r="G286" s="247"/>
      <c r="H286" s="248">
        <f>+H285/B285</f>
        <v>0.06639422709</v>
      </c>
      <c r="I286" s="249">
        <f>+I285/B285</f>
        <v>-0.00186304103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163"/>
      <c r="B287" s="220"/>
      <c r="C287" s="250"/>
      <c r="D287" s="250"/>
      <c r="E287" s="250"/>
      <c r="F287" s="250"/>
      <c r="G287" s="250"/>
      <c r="H287" s="251"/>
      <c r="I287" s="252"/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3"/>
      <c r="B288" s="254"/>
      <c r="C288" s="254"/>
      <c r="D288" s="254" t="s">
        <v>50</v>
      </c>
      <c r="E288" s="254" t="s">
        <v>48</v>
      </c>
      <c r="F288" s="254"/>
      <c r="G288" s="254"/>
      <c r="H288" s="255">
        <f>+D285+E285+H285+I285</f>
        <v>2087.981116</v>
      </c>
      <c r="I288" s="256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7"/>
      <c r="B289" s="139"/>
      <c r="C289" s="139"/>
      <c r="D289" s="139"/>
      <c r="E289" s="139" t="s">
        <v>49</v>
      </c>
      <c r="F289" s="139"/>
      <c r="G289" s="139"/>
      <c r="H289" s="251">
        <f>+H288/B285</f>
        <v>0.07165563233</v>
      </c>
      <c r="I289" s="258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 t="s">
        <v>51</v>
      </c>
      <c r="D290" s="139"/>
      <c r="E290" s="139"/>
      <c r="F290" s="139"/>
      <c r="G290" s="139"/>
      <c r="H290" s="140"/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/>
      <c r="D291" s="139" t="s">
        <v>52</v>
      </c>
      <c r="E291" s="139"/>
      <c r="F291" s="139"/>
      <c r="G291" s="139"/>
      <c r="H291" s="140">
        <f>+H290*(H288-H285)</f>
        <v>0</v>
      </c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59"/>
      <c r="B292" s="260"/>
      <c r="C292" s="260"/>
      <c r="D292" s="260"/>
      <c r="E292" s="260"/>
      <c r="F292" s="260"/>
      <c r="G292" s="260"/>
      <c r="H292" s="261"/>
      <c r="I292" s="262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6:E246"/>
    <mergeCell ref="C267:E26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205.94*85.4</f>
        <v>17587.276</v>
      </c>
      <c r="F8" s="156"/>
      <c r="G8" s="156"/>
      <c r="H8" s="157">
        <v>85.4</v>
      </c>
      <c r="I8" s="158">
        <f t="shared" ref="I8:I22" si="1">+D8*E8</f>
        <v>1415.775718</v>
      </c>
      <c r="J8" s="159">
        <f t="shared" ref="J8:J22" si="2">E8-I8</f>
        <v>16171.50028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70</v>
      </c>
      <c r="C9" s="154">
        <v>18.5</v>
      </c>
      <c r="D9" s="155">
        <v>0.1174</v>
      </c>
      <c r="E9" s="156">
        <f>179.413*40.3</f>
        <v>7230.3439</v>
      </c>
      <c r="F9" s="156"/>
      <c r="G9" s="156"/>
      <c r="H9" s="157">
        <v>40.3</v>
      </c>
      <c r="I9" s="158">
        <f t="shared" si="1"/>
        <v>848.8423739</v>
      </c>
      <c r="J9" s="159">
        <f t="shared" si="2"/>
        <v>6381.501526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78</v>
      </c>
      <c r="C10" s="154">
        <v>40.5</v>
      </c>
      <c r="D10" s="155">
        <v>0.0395</v>
      </c>
      <c r="E10" s="156">
        <f>258.282*1.2</f>
        <v>309.9384</v>
      </c>
      <c r="F10" s="156"/>
      <c r="G10" s="156"/>
      <c r="H10" s="157">
        <v>1.2</v>
      </c>
      <c r="I10" s="158">
        <f t="shared" si="1"/>
        <v>12.2425668</v>
      </c>
      <c r="J10" s="159">
        <f t="shared" si="2"/>
        <v>297.6958332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3"/>
      <c r="B23" s="164"/>
      <c r="C23" s="165"/>
      <c r="D23" s="166"/>
      <c r="E23" s="167">
        <f>SUM(E8:E22)</f>
        <v>25127.5583</v>
      </c>
      <c r="F23" s="168"/>
      <c r="G23" s="168"/>
      <c r="H23" s="169"/>
      <c r="I23" s="170">
        <f t="shared" ref="I23:J23" si="3">SUM(I8:I22)</f>
        <v>2276.860659</v>
      </c>
      <c r="J23" s="171">
        <f t="shared" si="3"/>
        <v>22850.69764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2"/>
      <c r="B24" s="144"/>
      <c r="C24" s="144"/>
      <c r="D24" s="173"/>
      <c r="E24" s="174"/>
      <c r="F24" s="151"/>
      <c r="G24" s="151"/>
      <c r="H24" s="147"/>
      <c r="I24" s="175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7"/>
      <c r="B29" s="160" t="s">
        <v>12</v>
      </c>
      <c r="C29" s="178" t="s">
        <v>56</v>
      </c>
      <c r="D29" s="52"/>
      <c r="E29" s="53"/>
      <c r="F29" s="179"/>
      <c r="G29" s="179"/>
      <c r="H29" s="180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7" t="s">
        <v>18</v>
      </c>
      <c r="O29" s="139"/>
      <c r="P29" s="139"/>
      <c r="Q29" s="177" t="s">
        <v>57</v>
      </c>
      <c r="R29" s="181"/>
      <c r="S29" s="160" t="s">
        <v>17</v>
      </c>
      <c r="T29" s="160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88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2" t="s">
        <v>55</v>
      </c>
      <c r="C30" s="183">
        <v>84.0</v>
      </c>
      <c r="D30" s="183">
        <v>203.0</v>
      </c>
      <c r="E30" s="183">
        <v>158.0</v>
      </c>
      <c r="F30" s="183">
        <f t="shared" ref="F30:F223" si="5">VALUE(IF(RIGHT(B30, 1)="%", RIGHT(B30, 3), 0))</f>
        <v>0</v>
      </c>
      <c r="G30" s="183">
        <f t="shared" ref="G30:G223" si="6">+R30*C30/100*D30/100*E30/100</f>
        <v>60.61986</v>
      </c>
      <c r="H30" s="184">
        <f t="shared" ref="H30:H223" si="7">IF(F30=0, G30, F30*G30)</f>
        <v>60.61986</v>
      </c>
      <c r="I30" s="183">
        <v>1.0</v>
      </c>
      <c r="J30" s="185">
        <f t="shared" ref="J30:J223" si="8">+I30*H30</f>
        <v>60.61986</v>
      </c>
      <c r="K30" s="186"/>
      <c r="L30" s="187">
        <f>D30*25.4/1000</f>
        <v>5.1562</v>
      </c>
      <c r="M30" s="188">
        <f>+I30</f>
        <v>1</v>
      </c>
      <c r="N30" s="188">
        <f>M30*L30</f>
        <v>5.1562</v>
      </c>
      <c r="O30" s="186"/>
      <c r="P30" s="186"/>
      <c r="Q30" s="187">
        <v>71.0</v>
      </c>
      <c r="R30" s="189">
        <v>22.5</v>
      </c>
      <c r="S30" s="177">
        <f t="shared" ref="S30:S224" si="9">E30/100</f>
        <v>1.58</v>
      </c>
      <c r="T30" s="160">
        <f t="shared" ref="T30:T224" si="10">I30</f>
        <v>1</v>
      </c>
      <c r="U30" s="160">
        <f t="shared" ref="U30:U224" si="11">T30*S30</f>
        <v>1.58</v>
      </c>
      <c r="V30" s="190">
        <f t="shared" ref="V30:V81" si="12">R30*C30/100*D30/100*E30/100</f>
        <v>60.61986</v>
      </c>
      <c r="W30" s="177">
        <f t="shared" ref="W30:X30" si="4">C30/100</f>
        <v>0.84</v>
      </c>
      <c r="X30" s="177">
        <f t="shared" si="4"/>
        <v>2.03</v>
      </c>
      <c r="Y30" s="177">
        <f t="shared" ref="Y30:Y224" si="14">U30</f>
        <v>1.58</v>
      </c>
      <c r="Z30" s="191">
        <f t="shared" ref="Z30:Z224" si="15">W30*X30*Y30</f>
        <v>2.694216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2" t="s">
        <v>55</v>
      </c>
      <c r="C31" s="192">
        <v>100.0</v>
      </c>
      <c r="D31" s="192">
        <v>203.0</v>
      </c>
      <c r="E31" s="192">
        <v>200.0</v>
      </c>
      <c r="F31" s="192">
        <f t="shared" si="5"/>
        <v>0</v>
      </c>
      <c r="G31" s="192">
        <f t="shared" si="6"/>
        <v>91.35</v>
      </c>
      <c r="H31" s="193">
        <f t="shared" si="7"/>
        <v>91.35</v>
      </c>
      <c r="I31" s="192">
        <v>1.0</v>
      </c>
      <c r="J31" s="194">
        <f t="shared" si="8"/>
        <v>91.35</v>
      </c>
      <c r="K31" s="139"/>
      <c r="L31" s="177"/>
      <c r="M31" s="160"/>
      <c r="N31" s="160"/>
      <c r="O31" s="139"/>
      <c r="P31" s="139"/>
      <c r="Q31" s="177">
        <v>90.0</v>
      </c>
      <c r="R31" s="189">
        <v>22.5</v>
      </c>
      <c r="S31" s="177">
        <f t="shared" si="9"/>
        <v>2</v>
      </c>
      <c r="T31" s="160">
        <f t="shared" si="10"/>
        <v>1</v>
      </c>
      <c r="U31" s="160">
        <f t="shared" si="11"/>
        <v>2</v>
      </c>
      <c r="V31" s="190">
        <f t="shared" si="12"/>
        <v>91.35</v>
      </c>
      <c r="W31" s="177">
        <f t="shared" ref="W31:X31" si="13">C31/100</f>
        <v>1</v>
      </c>
      <c r="X31" s="177">
        <f t="shared" si="13"/>
        <v>2.03</v>
      </c>
      <c r="Y31" s="177">
        <f t="shared" si="14"/>
        <v>2</v>
      </c>
      <c r="Z31" s="191">
        <f t="shared" si="15"/>
        <v>4.06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2" t="s">
        <v>55</v>
      </c>
      <c r="C32" s="192">
        <v>82.0</v>
      </c>
      <c r="D32" s="192">
        <v>203.0</v>
      </c>
      <c r="E32" s="192">
        <v>171.0</v>
      </c>
      <c r="F32" s="192">
        <f t="shared" si="5"/>
        <v>0</v>
      </c>
      <c r="G32" s="192">
        <f t="shared" si="6"/>
        <v>64.045485</v>
      </c>
      <c r="H32" s="193">
        <f t="shared" si="7"/>
        <v>64.045485</v>
      </c>
      <c r="I32" s="192">
        <v>1.0</v>
      </c>
      <c r="J32" s="194">
        <f t="shared" si="8"/>
        <v>64.045485</v>
      </c>
      <c r="K32" s="139"/>
      <c r="L32" s="177">
        <f t="shared" ref="L32:L54" si="17">D32*25.4/1000</f>
        <v>5.1562</v>
      </c>
      <c r="M32" s="160">
        <f t="shared" ref="M32:M56" si="18">+I32</f>
        <v>1</v>
      </c>
      <c r="N32" s="160">
        <f t="shared" ref="N32:N54" si="19">M32*L32</f>
        <v>5.1562</v>
      </c>
      <c r="O32" s="139"/>
      <c r="P32" s="139"/>
      <c r="Q32" s="177">
        <v>78.0</v>
      </c>
      <c r="R32" s="189">
        <v>22.5</v>
      </c>
      <c r="S32" s="177">
        <f t="shared" si="9"/>
        <v>1.71</v>
      </c>
      <c r="T32" s="160">
        <f t="shared" si="10"/>
        <v>1</v>
      </c>
      <c r="U32" s="160">
        <f t="shared" si="11"/>
        <v>1.71</v>
      </c>
      <c r="V32" s="190">
        <f t="shared" si="12"/>
        <v>64.045485</v>
      </c>
      <c r="W32" s="177">
        <f t="shared" ref="W32:X32" si="16">C32/100</f>
        <v>0.82</v>
      </c>
      <c r="X32" s="177">
        <f t="shared" si="16"/>
        <v>2.03</v>
      </c>
      <c r="Y32" s="177">
        <f t="shared" si="14"/>
        <v>1.71</v>
      </c>
      <c r="Z32" s="191">
        <f t="shared" si="15"/>
        <v>2.846466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2" t="s">
        <v>55</v>
      </c>
      <c r="C33" s="192">
        <v>100.0</v>
      </c>
      <c r="D33" s="192">
        <v>203.0</v>
      </c>
      <c r="E33" s="192">
        <v>198.0</v>
      </c>
      <c r="F33" s="192">
        <f t="shared" si="5"/>
        <v>0</v>
      </c>
      <c r="G33" s="192">
        <f t="shared" si="6"/>
        <v>90.4365</v>
      </c>
      <c r="H33" s="193">
        <f t="shared" si="7"/>
        <v>90.4365</v>
      </c>
      <c r="I33" s="192">
        <v>1.0</v>
      </c>
      <c r="J33" s="194">
        <f t="shared" si="8"/>
        <v>90.4365</v>
      </c>
      <c r="K33" s="139"/>
      <c r="L33" s="177">
        <f t="shared" si="17"/>
        <v>5.1562</v>
      </c>
      <c r="M33" s="160">
        <f t="shared" si="18"/>
        <v>1</v>
      </c>
      <c r="N33" s="160">
        <f t="shared" si="19"/>
        <v>5.1562</v>
      </c>
      <c r="O33" s="139"/>
      <c r="P33" s="139"/>
      <c r="Q33" s="177">
        <v>85.0</v>
      </c>
      <c r="R33" s="189">
        <v>22.5</v>
      </c>
      <c r="S33" s="177">
        <f t="shared" si="9"/>
        <v>1.98</v>
      </c>
      <c r="T33" s="160">
        <f t="shared" si="10"/>
        <v>1</v>
      </c>
      <c r="U33" s="160">
        <f t="shared" si="11"/>
        <v>1.98</v>
      </c>
      <c r="V33" s="190">
        <f t="shared" si="12"/>
        <v>90.4365</v>
      </c>
      <c r="W33" s="177">
        <f t="shared" ref="W33:X33" si="20">C33/100</f>
        <v>1</v>
      </c>
      <c r="X33" s="177">
        <f t="shared" si="20"/>
        <v>2.03</v>
      </c>
      <c r="Y33" s="177">
        <f t="shared" si="14"/>
        <v>1.98</v>
      </c>
      <c r="Z33" s="191">
        <f t="shared" si="15"/>
        <v>4.0194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2" t="s">
        <v>55</v>
      </c>
      <c r="C34" s="192">
        <v>102.0</v>
      </c>
      <c r="D34" s="192">
        <v>193.0</v>
      </c>
      <c r="E34" s="192">
        <v>113.0</v>
      </c>
      <c r="F34" s="192">
        <f t="shared" si="5"/>
        <v>0</v>
      </c>
      <c r="G34" s="192">
        <f t="shared" si="6"/>
        <v>50.051655</v>
      </c>
      <c r="H34" s="193">
        <f t="shared" si="7"/>
        <v>50.051655</v>
      </c>
      <c r="I34" s="192">
        <v>1.0</v>
      </c>
      <c r="J34" s="194">
        <f t="shared" si="8"/>
        <v>50.051655</v>
      </c>
      <c r="K34" s="139"/>
      <c r="L34" s="177">
        <f t="shared" si="17"/>
        <v>4.9022</v>
      </c>
      <c r="M34" s="160">
        <f t="shared" si="18"/>
        <v>1</v>
      </c>
      <c r="N34" s="160">
        <f t="shared" si="19"/>
        <v>4.9022</v>
      </c>
      <c r="O34" s="139"/>
      <c r="P34" s="139"/>
      <c r="Q34" s="177">
        <v>80.0</v>
      </c>
      <c r="R34" s="189">
        <v>22.5</v>
      </c>
      <c r="S34" s="177">
        <f t="shared" si="9"/>
        <v>1.13</v>
      </c>
      <c r="T34" s="160">
        <f t="shared" si="10"/>
        <v>1</v>
      </c>
      <c r="U34" s="160">
        <f t="shared" si="11"/>
        <v>1.13</v>
      </c>
      <c r="V34" s="190">
        <f t="shared" si="12"/>
        <v>50.051655</v>
      </c>
      <c r="W34" s="177">
        <f t="shared" ref="W34:X34" si="21">C34/100</f>
        <v>1.02</v>
      </c>
      <c r="X34" s="177">
        <f t="shared" si="21"/>
        <v>1.93</v>
      </c>
      <c r="Y34" s="177">
        <f t="shared" si="14"/>
        <v>1.13</v>
      </c>
      <c r="Z34" s="191">
        <f t="shared" si="15"/>
        <v>2.224518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2" t="s">
        <v>55</v>
      </c>
      <c r="C35" s="192">
        <v>105.0</v>
      </c>
      <c r="D35" s="192">
        <v>191.0</v>
      </c>
      <c r="E35" s="192">
        <v>2870.0</v>
      </c>
      <c r="F35" s="192">
        <f t="shared" si="5"/>
        <v>0</v>
      </c>
      <c r="G35" s="192">
        <f t="shared" si="6"/>
        <v>1295.051625</v>
      </c>
      <c r="H35" s="193">
        <f t="shared" si="7"/>
        <v>1295.051625</v>
      </c>
      <c r="I35" s="192">
        <v>1.0</v>
      </c>
      <c r="J35" s="194">
        <f t="shared" si="8"/>
        <v>1295.051625</v>
      </c>
      <c r="K35" s="139"/>
      <c r="L35" s="177">
        <f t="shared" si="17"/>
        <v>4.8514</v>
      </c>
      <c r="M35" s="160">
        <f t="shared" si="18"/>
        <v>1</v>
      </c>
      <c r="N35" s="160">
        <f t="shared" si="19"/>
        <v>4.8514</v>
      </c>
      <c r="O35" s="139"/>
      <c r="P35" s="139"/>
      <c r="Q35" s="177">
        <v>1295.0</v>
      </c>
      <c r="R35" s="189">
        <v>22.5</v>
      </c>
      <c r="S35" s="177">
        <f t="shared" si="9"/>
        <v>28.7</v>
      </c>
      <c r="T35" s="160">
        <f t="shared" si="10"/>
        <v>1</v>
      </c>
      <c r="U35" s="160">
        <f t="shared" si="11"/>
        <v>28.7</v>
      </c>
      <c r="V35" s="190">
        <f t="shared" si="12"/>
        <v>1295.051625</v>
      </c>
      <c r="W35" s="177">
        <f t="shared" ref="W35:X35" si="22">C35/100</f>
        <v>1.05</v>
      </c>
      <c r="X35" s="177">
        <f t="shared" si="22"/>
        <v>1.91</v>
      </c>
      <c r="Y35" s="177">
        <f t="shared" si="14"/>
        <v>28.7</v>
      </c>
      <c r="Z35" s="191">
        <f t="shared" si="15"/>
        <v>57.55785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2" t="s">
        <v>55</v>
      </c>
      <c r="C36" s="192">
        <v>103.0</v>
      </c>
      <c r="D36" s="192">
        <v>191.0</v>
      </c>
      <c r="E36" s="192">
        <v>2872.0</v>
      </c>
      <c r="F36" s="192">
        <f t="shared" si="5"/>
        <v>0</v>
      </c>
      <c r="G36" s="192">
        <f t="shared" si="6"/>
        <v>1271.26926</v>
      </c>
      <c r="H36" s="193">
        <f t="shared" si="7"/>
        <v>1271.26926</v>
      </c>
      <c r="I36" s="192">
        <v>1.0</v>
      </c>
      <c r="J36" s="194">
        <f t="shared" si="8"/>
        <v>1271.26926</v>
      </c>
      <c r="K36" s="139"/>
      <c r="L36" s="177">
        <f t="shared" si="17"/>
        <v>4.8514</v>
      </c>
      <c r="M36" s="160">
        <f t="shared" si="18"/>
        <v>1</v>
      </c>
      <c r="N36" s="160">
        <f t="shared" si="19"/>
        <v>4.8514</v>
      </c>
      <c r="O36" s="139"/>
      <c r="P36" s="139"/>
      <c r="Q36" s="177">
        <v>1305.0</v>
      </c>
      <c r="R36" s="189">
        <v>22.5</v>
      </c>
      <c r="S36" s="177">
        <f t="shared" si="9"/>
        <v>28.72</v>
      </c>
      <c r="T36" s="160">
        <f t="shared" si="10"/>
        <v>1</v>
      </c>
      <c r="U36" s="160">
        <f t="shared" si="11"/>
        <v>28.72</v>
      </c>
      <c r="V36" s="190">
        <f t="shared" si="12"/>
        <v>1271.26926</v>
      </c>
      <c r="W36" s="177">
        <f t="shared" ref="W36:X36" si="23">C36/100</f>
        <v>1.03</v>
      </c>
      <c r="X36" s="177">
        <f t="shared" si="23"/>
        <v>1.91</v>
      </c>
      <c r="Y36" s="177">
        <f t="shared" si="14"/>
        <v>28.72</v>
      </c>
      <c r="Z36" s="191">
        <f t="shared" si="15"/>
        <v>56.500856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2" t="s">
        <v>55</v>
      </c>
      <c r="C37" s="192">
        <v>105.0</v>
      </c>
      <c r="D37" s="192">
        <v>191.0</v>
      </c>
      <c r="E37" s="192">
        <v>2870.0</v>
      </c>
      <c r="F37" s="192">
        <f t="shared" si="5"/>
        <v>0</v>
      </c>
      <c r="G37" s="192">
        <f t="shared" si="6"/>
        <v>1295.051625</v>
      </c>
      <c r="H37" s="193">
        <f t="shared" si="7"/>
        <v>1295.051625</v>
      </c>
      <c r="I37" s="192">
        <v>1.0</v>
      </c>
      <c r="J37" s="194">
        <f t="shared" si="8"/>
        <v>1295.051625</v>
      </c>
      <c r="K37" s="139"/>
      <c r="L37" s="177">
        <f t="shared" si="17"/>
        <v>4.8514</v>
      </c>
      <c r="M37" s="160">
        <f t="shared" si="18"/>
        <v>1</v>
      </c>
      <c r="N37" s="160">
        <f t="shared" si="19"/>
        <v>4.8514</v>
      </c>
      <c r="O37" s="139"/>
      <c r="P37" s="139"/>
      <c r="Q37" s="177">
        <v>1285.0</v>
      </c>
      <c r="R37" s="189">
        <v>22.5</v>
      </c>
      <c r="S37" s="177">
        <f t="shared" si="9"/>
        <v>28.7</v>
      </c>
      <c r="T37" s="160">
        <f t="shared" si="10"/>
        <v>1</v>
      </c>
      <c r="U37" s="160">
        <f t="shared" si="11"/>
        <v>28.7</v>
      </c>
      <c r="V37" s="190">
        <f t="shared" si="12"/>
        <v>1295.051625</v>
      </c>
      <c r="W37" s="177">
        <f t="shared" ref="W37:X37" si="24">C37/100</f>
        <v>1.05</v>
      </c>
      <c r="X37" s="177">
        <f t="shared" si="24"/>
        <v>1.91</v>
      </c>
      <c r="Y37" s="177">
        <f t="shared" si="14"/>
        <v>28.7</v>
      </c>
      <c r="Z37" s="191">
        <f t="shared" si="15"/>
        <v>57.55785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2" t="s">
        <v>55</v>
      </c>
      <c r="C38" s="192">
        <v>103.0</v>
      </c>
      <c r="D38" s="192">
        <v>191.0</v>
      </c>
      <c r="E38" s="192">
        <v>2875.0</v>
      </c>
      <c r="F38" s="192">
        <f t="shared" si="5"/>
        <v>0</v>
      </c>
      <c r="G38" s="192">
        <f t="shared" si="6"/>
        <v>1272.597188</v>
      </c>
      <c r="H38" s="193">
        <f t="shared" si="7"/>
        <v>1272.597188</v>
      </c>
      <c r="I38" s="192">
        <v>1.0</v>
      </c>
      <c r="J38" s="194">
        <f t="shared" si="8"/>
        <v>1272.597188</v>
      </c>
      <c r="K38" s="139"/>
      <c r="L38" s="177">
        <f t="shared" si="17"/>
        <v>4.8514</v>
      </c>
      <c r="M38" s="160">
        <f t="shared" si="18"/>
        <v>1</v>
      </c>
      <c r="N38" s="160">
        <f t="shared" si="19"/>
        <v>4.8514</v>
      </c>
      <c r="O38" s="139"/>
      <c r="P38" s="139"/>
      <c r="Q38" s="177">
        <v>1275.0</v>
      </c>
      <c r="R38" s="189">
        <v>22.5</v>
      </c>
      <c r="S38" s="177">
        <f t="shared" si="9"/>
        <v>28.75</v>
      </c>
      <c r="T38" s="160">
        <f t="shared" si="10"/>
        <v>1</v>
      </c>
      <c r="U38" s="160">
        <f t="shared" si="11"/>
        <v>28.75</v>
      </c>
      <c r="V38" s="190">
        <f t="shared" si="12"/>
        <v>1272.597188</v>
      </c>
      <c r="W38" s="177">
        <f t="shared" ref="W38:X38" si="25">C38/100</f>
        <v>1.03</v>
      </c>
      <c r="X38" s="177">
        <f t="shared" si="25"/>
        <v>1.91</v>
      </c>
      <c r="Y38" s="177">
        <f t="shared" si="14"/>
        <v>28.75</v>
      </c>
      <c r="Z38" s="191">
        <f t="shared" si="15"/>
        <v>56.559875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92" t="s">
        <v>55</v>
      </c>
      <c r="C39" s="192">
        <v>104.0</v>
      </c>
      <c r="D39" s="192">
        <v>191.0</v>
      </c>
      <c r="E39" s="192">
        <v>2875.0</v>
      </c>
      <c r="F39" s="192">
        <f t="shared" si="5"/>
        <v>0</v>
      </c>
      <c r="G39" s="192">
        <f t="shared" si="6"/>
        <v>1284.9525</v>
      </c>
      <c r="H39" s="193">
        <f t="shared" si="7"/>
        <v>1284.9525</v>
      </c>
      <c r="I39" s="192">
        <v>1.0</v>
      </c>
      <c r="J39" s="194">
        <f t="shared" si="8"/>
        <v>1284.9525</v>
      </c>
      <c r="K39" s="139"/>
      <c r="L39" s="177">
        <f t="shared" si="17"/>
        <v>4.8514</v>
      </c>
      <c r="M39" s="160">
        <f t="shared" si="18"/>
        <v>1</v>
      </c>
      <c r="N39" s="160">
        <f t="shared" si="19"/>
        <v>4.8514</v>
      </c>
      <c r="O39" s="139"/>
      <c r="P39" s="139"/>
      <c r="Q39" s="177">
        <v>1275.0</v>
      </c>
      <c r="R39" s="189">
        <v>22.5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1284.9525</v>
      </c>
      <c r="W39" s="177">
        <f t="shared" ref="W39:X39" si="26">C39/100</f>
        <v>1.04</v>
      </c>
      <c r="X39" s="177">
        <f t="shared" si="26"/>
        <v>1.91</v>
      </c>
      <c r="Y39" s="177">
        <f t="shared" si="14"/>
        <v>28.75</v>
      </c>
      <c r="Z39" s="191">
        <f t="shared" si="15"/>
        <v>57.109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92" t="s">
        <v>55</v>
      </c>
      <c r="C40" s="192">
        <v>104.0</v>
      </c>
      <c r="D40" s="192">
        <v>191.0</v>
      </c>
      <c r="E40" s="192">
        <v>2878.0</v>
      </c>
      <c r="F40" s="192">
        <f t="shared" si="5"/>
        <v>0</v>
      </c>
      <c r="G40" s="192">
        <f t="shared" si="6"/>
        <v>1286.29332</v>
      </c>
      <c r="H40" s="193">
        <f t="shared" si="7"/>
        <v>1286.29332</v>
      </c>
      <c r="I40" s="192">
        <v>1.0</v>
      </c>
      <c r="J40" s="194">
        <f t="shared" si="8"/>
        <v>1286.29332</v>
      </c>
      <c r="K40" s="139"/>
      <c r="L40" s="177">
        <f t="shared" si="17"/>
        <v>4.8514</v>
      </c>
      <c r="M40" s="160">
        <f t="shared" si="18"/>
        <v>1</v>
      </c>
      <c r="N40" s="160">
        <f t="shared" si="19"/>
        <v>4.8514</v>
      </c>
      <c r="O40" s="139"/>
      <c r="P40" s="139"/>
      <c r="Q40" s="177">
        <v>1275.0</v>
      </c>
      <c r="R40" s="189">
        <v>22.5</v>
      </c>
      <c r="S40" s="177">
        <f t="shared" si="9"/>
        <v>28.78</v>
      </c>
      <c r="T40" s="160">
        <f t="shared" si="10"/>
        <v>1</v>
      </c>
      <c r="U40" s="160">
        <f t="shared" si="11"/>
        <v>28.78</v>
      </c>
      <c r="V40" s="190">
        <f t="shared" si="12"/>
        <v>1286.29332</v>
      </c>
      <c r="W40" s="177">
        <f t="shared" ref="W40:X40" si="27">C40/100</f>
        <v>1.04</v>
      </c>
      <c r="X40" s="177">
        <f t="shared" si="27"/>
        <v>1.91</v>
      </c>
      <c r="Y40" s="177">
        <f t="shared" si="14"/>
        <v>28.78</v>
      </c>
      <c r="Z40" s="191">
        <f t="shared" si="15"/>
        <v>57.168592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2" t="s">
        <v>55</v>
      </c>
      <c r="C41" s="192">
        <v>103.0</v>
      </c>
      <c r="D41" s="192">
        <v>191.0</v>
      </c>
      <c r="E41" s="192">
        <v>2875.0</v>
      </c>
      <c r="F41" s="192">
        <f t="shared" si="5"/>
        <v>0</v>
      </c>
      <c r="G41" s="192">
        <f t="shared" si="6"/>
        <v>1272.597188</v>
      </c>
      <c r="H41" s="193">
        <f t="shared" si="7"/>
        <v>1272.597188</v>
      </c>
      <c r="I41" s="192">
        <v>1.0</v>
      </c>
      <c r="J41" s="194">
        <f t="shared" si="8"/>
        <v>1272.597188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1305.0</v>
      </c>
      <c r="R41" s="189">
        <v>22.5</v>
      </c>
      <c r="S41" s="177">
        <f t="shared" si="9"/>
        <v>28.75</v>
      </c>
      <c r="T41" s="160">
        <f t="shared" si="10"/>
        <v>1</v>
      </c>
      <c r="U41" s="160">
        <f t="shared" si="11"/>
        <v>28.75</v>
      </c>
      <c r="V41" s="190">
        <f t="shared" si="12"/>
        <v>1272.597188</v>
      </c>
      <c r="W41" s="177">
        <f t="shared" ref="W41:X41" si="28">C41/100</f>
        <v>1.03</v>
      </c>
      <c r="X41" s="177">
        <f t="shared" si="28"/>
        <v>1.91</v>
      </c>
      <c r="Y41" s="177">
        <f t="shared" si="14"/>
        <v>28.75</v>
      </c>
      <c r="Z41" s="191">
        <f t="shared" si="15"/>
        <v>56.559875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2" t="s">
        <v>55</v>
      </c>
      <c r="C42" s="192">
        <v>100.0</v>
      </c>
      <c r="D42" s="192">
        <v>191.0</v>
      </c>
      <c r="E42" s="192">
        <v>2876.0</v>
      </c>
      <c r="F42" s="192">
        <f t="shared" si="5"/>
        <v>0</v>
      </c>
      <c r="G42" s="192">
        <f t="shared" si="6"/>
        <v>1235.961</v>
      </c>
      <c r="H42" s="193">
        <f t="shared" si="7"/>
        <v>1235.961</v>
      </c>
      <c r="I42" s="192">
        <v>1.0</v>
      </c>
      <c r="J42" s="194">
        <f t="shared" si="8"/>
        <v>1235.961</v>
      </c>
      <c r="K42" s="139"/>
      <c r="L42" s="177">
        <f t="shared" si="17"/>
        <v>4.8514</v>
      </c>
      <c r="M42" s="160">
        <f t="shared" si="18"/>
        <v>1</v>
      </c>
      <c r="N42" s="160">
        <f t="shared" si="19"/>
        <v>4.8514</v>
      </c>
      <c r="O42" s="139"/>
      <c r="P42" s="139"/>
      <c r="Q42" s="177">
        <v>1280.0</v>
      </c>
      <c r="R42" s="189">
        <v>22.5</v>
      </c>
      <c r="S42" s="177">
        <f t="shared" si="9"/>
        <v>28.76</v>
      </c>
      <c r="T42" s="160">
        <f t="shared" si="10"/>
        <v>1</v>
      </c>
      <c r="U42" s="160">
        <f t="shared" si="11"/>
        <v>28.76</v>
      </c>
      <c r="V42" s="190">
        <f t="shared" si="12"/>
        <v>1235.961</v>
      </c>
      <c r="W42" s="177">
        <f t="shared" ref="W42:X42" si="29">C42/100</f>
        <v>1</v>
      </c>
      <c r="X42" s="177">
        <f t="shared" si="29"/>
        <v>1.91</v>
      </c>
      <c r="Y42" s="177">
        <f t="shared" si="14"/>
        <v>28.76</v>
      </c>
      <c r="Z42" s="191">
        <f t="shared" si="15"/>
        <v>54.9316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2" t="s">
        <v>55</v>
      </c>
      <c r="C43" s="192">
        <v>103.0</v>
      </c>
      <c r="D43" s="192">
        <v>191.0</v>
      </c>
      <c r="E43" s="192">
        <v>2875.0</v>
      </c>
      <c r="F43" s="192">
        <f t="shared" si="5"/>
        <v>0</v>
      </c>
      <c r="G43" s="192">
        <f t="shared" si="6"/>
        <v>1272.597188</v>
      </c>
      <c r="H43" s="193">
        <f t="shared" si="7"/>
        <v>1272.597188</v>
      </c>
      <c r="I43" s="192">
        <v>1.0</v>
      </c>
      <c r="J43" s="194">
        <f t="shared" si="8"/>
        <v>1272.597188</v>
      </c>
      <c r="K43" s="139"/>
      <c r="L43" s="177">
        <f t="shared" si="17"/>
        <v>4.8514</v>
      </c>
      <c r="M43" s="160">
        <f t="shared" si="18"/>
        <v>1</v>
      </c>
      <c r="N43" s="160">
        <f t="shared" si="19"/>
        <v>4.8514</v>
      </c>
      <c r="O43" s="139"/>
      <c r="P43" s="139"/>
      <c r="Q43" s="177">
        <v>1260.0</v>
      </c>
      <c r="R43" s="189">
        <v>22.5</v>
      </c>
      <c r="S43" s="177">
        <f t="shared" si="9"/>
        <v>28.75</v>
      </c>
      <c r="T43" s="160">
        <f t="shared" si="10"/>
        <v>1</v>
      </c>
      <c r="U43" s="160">
        <f t="shared" si="11"/>
        <v>28.75</v>
      </c>
      <c r="V43" s="190">
        <f t="shared" si="12"/>
        <v>1272.597188</v>
      </c>
      <c r="W43" s="177">
        <f t="shared" ref="W43:X43" si="30">C43/100</f>
        <v>1.03</v>
      </c>
      <c r="X43" s="177">
        <f t="shared" si="30"/>
        <v>1.91</v>
      </c>
      <c r="Y43" s="177">
        <f t="shared" si="14"/>
        <v>28.75</v>
      </c>
      <c r="Z43" s="191">
        <f t="shared" si="15"/>
        <v>56.559875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2" t="s">
        <v>55</v>
      </c>
      <c r="C44" s="192">
        <v>101.0</v>
      </c>
      <c r="D44" s="192">
        <v>191.0</v>
      </c>
      <c r="E44" s="192">
        <v>2871.0</v>
      </c>
      <c r="F44" s="192">
        <f t="shared" si="5"/>
        <v>0</v>
      </c>
      <c r="G44" s="192">
        <f t="shared" si="6"/>
        <v>1246.150373</v>
      </c>
      <c r="H44" s="193">
        <f t="shared" si="7"/>
        <v>1246.150373</v>
      </c>
      <c r="I44" s="192">
        <v>1.0</v>
      </c>
      <c r="J44" s="194">
        <f t="shared" si="8"/>
        <v>1246.150373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1270.0</v>
      </c>
      <c r="R44" s="189">
        <v>22.5</v>
      </c>
      <c r="S44" s="177">
        <f t="shared" si="9"/>
        <v>28.71</v>
      </c>
      <c r="T44" s="160">
        <f t="shared" si="10"/>
        <v>1</v>
      </c>
      <c r="U44" s="160">
        <f t="shared" si="11"/>
        <v>28.71</v>
      </c>
      <c r="V44" s="190">
        <f t="shared" si="12"/>
        <v>1246.150373</v>
      </c>
      <c r="W44" s="177">
        <f t="shared" ref="W44:X44" si="31">C44/100</f>
        <v>1.01</v>
      </c>
      <c r="X44" s="177">
        <f t="shared" si="31"/>
        <v>1.91</v>
      </c>
      <c r="Y44" s="177">
        <f t="shared" si="14"/>
        <v>28.71</v>
      </c>
      <c r="Z44" s="191">
        <f t="shared" si="15"/>
        <v>55.384461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2" t="s">
        <v>55</v>
      </c>
      <c r="C45" s="192">
        <v>100.0</v>
      </c>
      <c r="D45" s="192">
        <v>191.0</v>
      </c>
      <c r="E45" s="192">
        <v>2868.0</v>
      </c>
      <c r="F45" s="192">
        <f t="shared" si="5"/>
        <v>0</v>
      </c>
      <c r="G45" s="192">
        <f t="shared" si="6"/>
        <v>1232.523</v>
      </c>
      <c r="H45" s="193">
        <f t="shared" si="7"/>
        <v>1232.523</v>
      </c>
      <c r="I45" s="192">
        <v>1.0</v>
      </c>
      <c r="J45" s="194">
        <f t="shared" si="8"/>
        <v>1232.523</v>
      </c>
      <c r="K45" s="139"/>
      <c r="L45" s="177">
        <f t="shared" si="17"/>
        <v>4.8514</v>
      </c>
      <c r="M45" s="160">
        <f t="shared" si="18"/>
        <v>1</v>
      </c>
      <c r="N45" s="160">
        <f t="shared" si="19"/>
        <v>4.8514</v>
      </c>
      <c r="O45" s="139"/>
      <c r="P45" s="139"/>
      <c r="Q45" s="177">
        <v>1270.0</v>
      </c>
      <c r="R45" s="189">
        <v>22.5</v>
      </c>
      <c r="S45" s="177">
        <f t="shared" si="9"/>
        <v>28.68</v>
      </c>
      <c r="T45" s="160">
        <f t="shared" si="10"/>
        <v>1</v>
      </c>
      <c r="U45" s="160">
        <f t="shared" si="11"/>
        <v>28.68</v>
      </c>
      <c r="V45" s="190">
        <f t="shared" si="12"/>
        <v>1232.523</v>
      </c>
      <c r="W45" s="177">
        <f t="shared" ref="W45:X45" si="32">C45/100</f>
        <v>1</v>
      </c>
      <c r="X45" s="177">
        <f t="shared" si="32"/>
        <v>1.91</v>
      </c>
      <c r="Y45" s="177">
        <f t="shared" si="14"/>
        <v>28.68</v>
      </c>
      <c r="Z45" s="191">
        <f t="shared" si="15"/>
        <v>54.7788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92" t="s">
        <v>55</v>
      </c>
      <c r="C46" s="192">
        <v>104.0</v>
      </c>
      <c r="D46" s="192">
        <v>191.0</v>
      </c>
      <c r="E46" s="192">
        <v>2868.0</v>
      </c>
      <c r="F46" s="192">
        <f t="shared" si="5"/>
        <v>0</v>
      </c>
      <c r="G46" s="192">
        <f t="shared" si="6"/>
        <v>1281.82392</v>
      </c>
      <c r="H46" s="193">
        <f t="shared" si="7"/>
        <v>1281.82392</v>
      </c>
      <c r="I46" s="192">
        <v>1.0</v>
      </c>
      <c r="J46" s="194">
        <f t="shared" si="8"/>
        <v>1281.82392</v>
      </c>
      <c r="K46" s="139"/>
      <c r="L46" s="177">
        <f t="shared" si="17"/>
        <v>4.8514</v>
      </c>
      <c r="M46" s="160">
        <f t="shared" si="18"/>
        <v>1</v>
      </c>
      <c r="N46" s="160">
        <f t="shared" si="19"/>
        <v>4.8514</v>
      </c>
      <c r="O46" s="139"/>
      <c r="P46" s="139"/>
      <c r="Q46" s="177">
        <v>1260.0</v>
      </c>
      <c r="R46" s="189">
        <v>22.5</v>
      </c>
      <c r="S46" s="177">
        <f t="shared" si="9"/>
        <v>28.68</v>
      </c>
      <c r="T46" s="160">
        <f t="shared" si="10"/>
        <v>1</v>
      </c>
      <c r="U46" s="160">
        <f t="shared" si="11"/>
        <v>28.68</v>
      </c>
      <c r="V46" s="190">
        <f t="shared" si="12"/>
        <v>1281.82392</v>
      </c>
      <c r="W46" s="177">
        <f t="shared" ref="W46:X46" si="33">C46/100</f>
        <v>1.04</v>
      </c>
      <c r="X46" s="177">
        <f t="shared" si="33"/>
        <v>1.91</v>
      </c>
      <c r="Y46" s="177">
        <f t="shared" si="14"/>
        <v>28.68</v>
      </c>
      <c r="Z46" s="191">
        <f t="shared" si="15"/>
        <v>56.969952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82" t="s">
        <v>70</v>
      </c>
      <c r="C47" s="183">
        <v>74.0</v>
      </c>
      <c r="D47" s="183">
        <v>223.0</v>
      </c>
      <c r="E47" s="183">
        <v>171.0</v>
      </c>
      <c r="F47" s="183">
        <f t="shared" si="5"/>
        <v>0</v>
      </c>
      <c r="G47" s="183">
        <f t="shared" si="6"/>
        <v>52.204077</v>
      </c>
      <c r="H47" s="184">
        <f t="shared" si="7"/>
        <v>52.204077</v>
      </c>
      <c r="I47" s="183">
        <v>1.0</v>
      </c>
      <c r="J47" s="185">
        <f t="shared" si="8"/>
        <v>52.204077</v>
      </c>
      <c r="K47" s="186"/>
      <c r="L47" s="187">
        <f t="shared" si="17"/>
        <v>5.6642</v>
      </c>
      <c r="M47" s="188">
        <f t="shared" si="18"/>
        <v>1</v>
      </c>
      <c r="N47" s="188">
        <f t="shared" si="19"/>
        <v>5.6642</v>
      </c>
      <c r="O47" s="186"/>
      <c r="P47" s="186"/>
      <c r="Q47" s="269">
        <v>52.204077</v>
      </c>
      <c r="R47" s="189">
        <v>18.5</v>
      </c>
      <c r="S47" s="177">
        <f t="shared" si="9"/>
        <v>1.71</v>
      </c>
      <c r="T47" s="160">
        <f t="shared" si="10"/>
        <v>1</v>
      </c>
      <c r="U47" s="160">
        <f t="shared" si="11"/>
        <v>1.71</v>
      </c>
      <c r="V47" s="190">
        <f t="shared" si="12"/>
        <v>52.204077</v>
      </c>
      <c r="W47" s="177">
        <f t="shared" ref="W47:X47" si="34">C47/100</f>
        <v>0.74</v>
      </c>
      <c r="X47" s="177">
        <f t="shared" si="34"/>
        <v>2.23</v>
      </c>
      <c r="Y47" s="177">
        <f t="shared" si="14"/>
        <v>1.71</v>
      </c>
      <c r="Z47" s="191">
        <f t="shared" si="15"/>
        <v>2.821842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19.0</v>
      </c>
      <c r="B48" s="192" t="s">
        <v>70</v>
      </c>
      <c r="C48" s="192">
        <v>99.0</v>
      </c>
      <c r="D48" s="192">
        <v>223.0</v>
      </c>
      <c r="E48" s="192">
        <v>125.0</v>
      </c>
      <c r="F48" s="192">
        <f t="shared" si="5"/>
        <v>0</v>
      </c>
      <c r="G48" s="192">
        <f t="shared" si="6"/>
        <v>51.0530625</v>
      </c>
      <c r="H48" s="193">
        <f t="shared" si="7"/>
        <v>51.0530625</v>
      </c>
      <c r="I48" s="192">
        <v>1.0</v>
      </c>
      <c r="J48" s="194">
        <f t="shared" si="8"/>
        <v>51.0530625</v>
      </c>
      <c r="K48" s="139"/>
      <c r="L48" s="177">
        <f t="shared" si="17"/>
        <v>5.6642</v>
      </c>
      <c r="M48" s="160">
        <f t="shared" si="18"/>
        <v>1</v>
      </c>
      <c r="N48" s="160">
        <f t="shared" si="19"/>
        <v>5.6642</v>
      </c>
      <c r="O48" s="139"/>
      <c r="P48" s="139"/>
      <c r="Q48" s="157">
        <v>51.0530625</v>
      </c>
      <c r="R48" s="189">
        <v>18.5</v>
      </c>
      <c r="S48" s="177">
        <f t="shared" si="9"/>
        <v>1.25</v>
      </c>
      <c r="T48" s="160">
        <f t="shared" si="10"/>
        <v>1</v>
      </c>
      <c r="U48" s="160">
        <f t="shared" si="11"/>
        <v>1.25</v>
      </c>
      <c r="V48" s="190">
        <f t="shared" si="12"/>
        <v>51.0530625</v>
      </c>
      <c r="W48" s="177">
        <f t="shared" ref="W48:X48" si="35">C48/100</f>
        <v>0.99</v>
      </c>
      <c r="X48" s="177">
        <f t="shared" si="35"/>
        <v>2.23</v>
      </c>
      <c r="Y48" s="177">
        <f t="shared" si="14"/>
        <v>1.25</v>
      </c>
      <c r="Z48" s="191">
        <f t="shared" si="15"/>
        <v>2.759625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20.0</v>
      </c>
      <c r="B49" s="192" t="s">
        <v>70</v>
      </c>
      <c r="C49" s="192">
        <v>99.0</v>
      </c>
      <c r="D49" s="192">
        <v>223.0</v>
      </c>
      <c r="E49" s="192">
        <v>2863.0</v>
      </c>
      <c r="F49" s="192">
        <f t="shared" si="5"/>
        <v>0</v>
      </c>
      <c r="G49" s="192">
        <f t="shared" si="6"/>
        <v>1169.319344</v>
      </c>
      <c r="H49" s="193">
        <f t="shared" si="7"/>
        <v>1169.319344</v>
      </c>
      <c r="I49" s="192">
        <v>1.0</v>
      </c>
      <c r="J49" s="194">
        <f t="shared" si="8"/>
        <v>1169.319344</v>
      </c>
      <c r="K49" s="139"/>
      <c r="L49" s="177">
        <f t="shared" si="17"/>
        <v>5.6642</v>
      </c>
      <c r="M49" s="160">
        <f t="shared" si="18"/>
        <v>1</v>
      </c>
      <c r="N49" s="160">
        <f t="shared" si="19"/>
        <v>5.6642</v>
      </c>
      <c r="O49" s="139"/>
      <c r="P49" s="139"/>
      <c r="Q49" s="157">
        <v>1169.3193434999998</v>
      </c>
      <c r="R49" s="189">
        <v>18.5</v>
      </c>
      <c r="S49" s="177">
        <f t="shared" si="9"/>
        <v>28.63</v>
      </c>
      <c r="T49" s="160">
        <f t="shared" si="10"/>
        <v>1</v>
      </c>
      <c r="U49" s="160">
        <f t="shared" si="11"/>
        <v>28.63</v>
      </c>
      <c r="V49" s="190">
        <f t="shared" si="12"/>
        <v>1169.319344</v>
      </c>
      <c r="W49" s="177">
        <f t="shared" ref="W49:X49" si="36">C49/100</f>
        <v>0.99</v>
      </c>
      <c r="X49" s="177">
        <f t="shared" si="36"/>
        <v>2.23</v>
      </c>
      <c r="Y49" s="177">
        <f t="shared" si="14"/>
        <v>28.63</v>
      </c>
      <c r="Z49" s="191">
        <f t="shared" si="15"/>
        <v>63.206451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21.0</v>
      </c>
      <c r="B50" s="192" t="s">
        <v>70</v>
      </c>
      <c r="C50" s="192">
        <v>91.0</v>
      </c>
      <c r="D50" s="192">
        <v>223.0</v>
      </c>
      <c r="E50" s="192">
        <v>2858.0</v>
      </c>
      <c r="F50" s="192">
        <f t="shared" si="5"/>
        <v>0</v>
      </c>
      <c r="G50" s="192">
        <f t="shared" si="6"/>
        <v>1072.951789</v>
      </c>
      <c r="H50" s="193">
        <f t="shared" si="7"/>
        <v>1072.951789</v>
      </c>
      <c r="I50" s="192">
        <v>1.0</v>
      </c>
      <c r="J50" s="194">
        <f t="shared" si="8"/>
        <v>1072.951789</v>
      </c>
      <c r="K50" s="139"/>
      <c r="L50" s="177">
        <f t="shared" si="17"/>
        <v>5.6642</v>
      </c>
      <c r="M50" s="160">
        <f t="shared" si="18"/>
        <v>1</v>
      </c>
      <c r="N50" s="160">
        <f t="shared" si="19"/>
        <v>5.6642</v>
      </c>
      <c r="O50" s="139"/>
      <c r="P50" s="139"/>
      <c r="Q50" s="157">
        <v>1072.9517890000002</v>
      </c>
      <c r="R50" s="189">
        <v>18.5</v>
      </c>
      <c r="S50" s="177">
        <f t="shared" si="9"/>
        <v>28.58</v>
      </c>
      <c r="T50" s="160">
        <f t="shared" si="10"/>
        <v>1</v>
      </c>
      <c r="U50" s="160">
        <f t="shared" si="11"/>
        <v>28.58</v>
      </c>
      <c r="V50" s="190">
        <f t="shared" si="12"/>
        <v>1072.951789</v>
      </c>
      <c r="W50" s="177">
        <f t="shared" ref="W50:X50" si="37">C50/100</f>
        <v>0.91</v>
      </c>
      <c r="X50" s="177">
        <f t="shared" si="37"/>
        <v>2.23</v>
      </c>
      <c r="Y50" s="177">
        <f t="shared" si="14"/>
        <v>28.58</v>
      </c>
      <c r="Z50" s="191">
        <f t="shared" si="15"/>
        <v>57.997394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22.0</v>
      </c>
      <c r="B51" s="192" t="s">
        <v>70</v>
      </c>
      <c r="C51" s="192">
        <v>103.0</v>
      </c>
      <c r="D51" s="192">
        <v>223.0</v>
      </c>
      <c r="E51" s="192">
        <v>2853.0</v>
      </c>
      <c r="F51" s="192">
        <f t="shared" si="5"/>
        <v>0</v>
      </c>
      <c r="G51" s="192">
        <f t="shared" si="6"/>
        <v>1212.315305</v>
      </c>
      <c r="H51" s="193">
        <f t="shared" si="7"/>
        <v>1212.315305</v>
      </c>
      <c r="I51" s="192">
        <v>1.0</v>
      </c>
      <c r="J51" s="194">
        <f t="shared" si="8"/>
        <v>1212.315305</v>
      </c>
      <c r="K51" s="139"/>
      <c r="L51" s="177">
        <f t="shared" si="17"/>
        <v>5.6642</v>
      </c>
      <c r="M51" s="160">
        <f t="shared" si="18"/>
        <v>1</v>
      </c>
      <c r="N51" s="160">
        <f t="shared" si="19"/>
        <v>5.6642</v>
      </c>
      <c r="O51" s="139"/>
      <c r="P51" s="139"/>
      <c r="Q51" s="157">
        <v>1212.3153045000001</v>
      </c>
      <c r="R51" s="189">
        <v>18.5</v>
      </c>
      <c r="S51" s="177">
        <f t="shared" si="9"/>
        <v>28.53</v>
      </c>
      <c r="T51" s="160">
        <f t="shared" si="10"/>
        <v>1</v>
      </c>
      <c r="U51" s="160">
        <f t="shared" si="11"/>
        <v>28.53</v>
      </c>
      <c r="V51" s="190">
        <f t="shared" si="12"/>
        <v>1212.315305</v>
      </c>
      <c r="W51" s="177">
        <f t="shared" ref="W51:X51" si="38">C51/100</f>
        <v>1.03</v>
      </c>
      <c r="X51" s="177">
        <f t="shared" si="38"/>
        <v>2.23</v>
      </c>
      <c r="Y51" s="177">
        <f t="shared" si="14"/>
        <v>28.53</v>
      </c>
      <c r="Z51" s="191">
        <f t="shared" si="15"/>
        <v>65.530557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23.0</v>
      </c>
      <c r="B52" s="192" t="s">
        <v>70</v>
      </c>
      <c r="C52" s="192">
        <v>103.0</v>
      </c>
      <c r="D52" s="192">
        <v>223.0</v>
      </c>
      <c r="E52" s="192">
        <v>2857.0</v>
      </c>
      <c r="F52" s="192">
        <f t="shared" si="5"/>
        <v>0</v>
      </c>
      <c r="G52" s="192">
        <f t="shared" si="6"/>
        <v>1214.015011</v>
      </c>
      <c r="H52" s="193">
        <f t="shared" si="7"/>
        <v>1214.015011</v>
      </c>
      <c r="I52" s="192">
        <v>1.0</v>
      </c>
      <c r="J52" s="194">
        <f t="shared" si="8"/>
        <v>1214.015011</v>
      </c>
      <c r="K52" s="139"/>
      <c r="L52" s="177">
        <f t="shared" si="17"/>
        <v>5.6642</v>
      </c>
      <c r="M52" s="160">
        <f t="shared" si="18"/>
        <v>1</v>
      </c>
      <c r="N52" s="160">
        <f t="shared" si="19"/>
        <v>5.6642</v>
      </c>
      <c r="O52" s="139"/>
      <c r="P52" s="139"/>
      <c r="Q52" s="157">
        <v>1214.0150105</v>
      </c>
      <c r="R52" s="189">
        <v>18.5</v>
      </c>
      <c r="S52" s="177">
        <f t="shared" si="9"/>
        <v>28.57</v>
      </c>
      <c r="T52" s="160">
        <f t="shared" si="10"/>
        <v>1</v>
      </c>
      <c r="U52" s="160">
        <f t="shared" si="11"/>
        <v>28.57</v>
      </c>
      <c r="V52" s="190">
        <f t="shared" si="12"/>
        <v>1214.015011</v>
      </c>
      <c r="W52" s="177">
        <f t="shared" ref="W52:X52" si="39">C52/100</f>
        <v>1.03</v>
      </c>
      <c r="X52" s="177">
        <f t="shared" si="39"/>
        <v>2.23</v>
      </c>
      <c r="Y52" s="177">
        <f t="shared" si="14"/>
        <v>28.57</v>
      </c>
      <c r="Z52" s="191">
        <f t="shared" si="15"/>
        <v>65.622433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24.0</v>
      </c>
      <c r="B53" s="192" t="s">
        <v>70</v>
      </c>
      <c r="C53" s="192">
        <v>102.0</v>
      </c>
      <c r="D53" s="192">
        <v>223.0</v>
      </c>
      <c r="E53" s="192">
        <v>2676.0</v>
      </c>
      <c r="F53" s="192">
        <f t="shared" si="5"/>
        <v>0</v>
      </c>
      <c r="G53" s="192">
        <f t="shared" si="6"/>
        <v>1126.063476</v>
      </c>
      <c r="H53" s="193">
        <f t="shared" si="7"/>
        <v>1126.063476</v>
      </c>
      <c r="I53" s="192">
        <v>1.0</v>
      </c>
      <c r="J53" s="194">
        <f t="shared" si="8"/>
        <v>1126.063476</v>
      </c>
      <c r="K53" s="139"/>
      <c r="L53" s="177">
        <f t="shared" si="17"/>
        <v>5.6642</v>
      </c>
      <c r="M53" s="160">
        <f t="shared" si="18"/>
        <v>1</v>
      </c>
      <c r="N53" s="160">
        <f t="shared" si="19"/>
        <v>5.6642</v>
      </c>
      <c r="O53" s="139"/>
      <c r="P53" s="139"/>
      <c r="Q53" s="157">
        <v>1126.063476</v>
      </c>
      <c r="R53" s="189">
        <v>18.5</v>
      </c>
      <c r="S53" s="177">
        <f t="shared" si="9"/>
        <v>26.76</v>
      </c>
      <c r="T53" s="160">
        <f t="shared" si="10"/>
        <v>1</v>
      </c>
      <c r="U53" s="160">
        <f t="shared" si="11"/>
        <v>26.76</v>
      </c>
      <c r="V53" s="190">
        <f t="shared" si="12"/>
        <v>1126.063476</v>
      </c>
      <c r="W53" s="177">
        <f t="shared" ref="W53:X53" si="40">C53/100</f>
        <v>1.02</v>
      </c>
      <c r="X53" s="177">
        <f t="shared" si="40"/>
        <v>2.23</v>
      </c>
      <c r="Y53" s="177">
        <f t="shared" si="14"/>
        <v>26.76</v>
      </c>
      <c r="Z53" s="191">
        <f t="shared" si="15"/>
        <v>60.868296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25.0</v>
      </c>
      <c r="B54" s="192" t="s">
        <v>70</v>
      </c>
      <c r="C54" s="192">
        <v>102.0</v>
      </c>
      <c r="D54" s="192">
        <v>223.0</v>
      </c>
      <c r="E54" s="192">
        <v>2846.0</v>
      </c>
      <c r="F54" s="192">
        <f t="shared" si="5"/>
        <v>0</v>
      </c>
      <c r="G54" s="192">
        <f t="shared" si="6"/>
        <v>1197.599646</v>
      </c>
      <c r="H54" s="193">
        <f t="shared" si="7"/>
        <v>1197.599646</v>
      </c>
      <c r="I54" s="192">
        <v>1.0</v>
      </c>
      <c r="J54" s="194">
        <f t="shared" si="8"/>
        <v>1197.599646</v>
      </c>
      <c r="K54" s="139"/>
      <c r="L54" s="177">
        <f t="shared" si="17"/>
        <v>5.6642</v>
      </c>
      <c r="M54" s="160">
        <f t="shared" si="18"/>
        <v>1</v>
      </c>
      <c r="N54" s="160">
        <f t="shared" si="19"/>
        <v>5.6642</v>
      </c>
      <c r="O54" s="139"/>
      <c r="P54" s="139"/>
      <c r="Q54" s="157">
        <v>1197.5996460000001</v>
      </c>
      <c r="R54" s="189">
        <v>18.5</v>
      </c>
      <c r="S54" s="177">
        <f t="shared" si="9"/>
        <v>28.46</v>
      </c>
      <c r="T54" s="160">
        <f t="shared" si="10"/>
        <v>1</v>
      </c>
      <c r="U54" s="160">
        <f t="shared" si="11"/>
        <v>28.46</v>
      </c>
      <c r="V54" s="190">
        <f t="shared" si="12"/>
        <v>1197.599646</v>
      </c>
      <c r="W54" s="177">
        <f t="shared" ref="W54:X54" si="41">C54/100</f>
        <v>1.02</v>
      </c>
      <c r="X54" s="177">
        <f t="shared" si="41"/>
        <v>2.23</v>
      </c>
      <c r="Y54" s="177">
        <f t="shared" si="14"/>
        <v>28.46</v>
      </c>
      <c r="Z54" s="191">
        <f t="shared" si="15"/>
        <v>64.735116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26.0</v>
      </c>
      <c r="B55" s="182" t="s">
        <v>78</v>
      </c>
      <c r="C55" s="192">
        <v>73.0</v>
      </c>
      <c r="D55" s="192">
        <v>174.0</v>
      </c>
      <c r="E55" s="192">
        <v>204.0</v>
      </c>
      <c r="F55" s="192">
        <f t="shared" si="5"/>
        <v>0</v>
      </c>
      <c r="G55" s="192">
        <f t="shared" si="6"/>
        <v>104.943924</v>
      </c>
      <c r="H55" s="193">
        <f t="shared" si="7"/>
        <v>104.943924</v>
      </c>
      <c r="I55" s="192">
        <v>1.0</v>
      </c>
      <c r="J55" s="194">
        <f t="shared" si="8"/>
        <v>104.943924</v>
      </c>
      <c r="K55" s="139"/>
      <c r="L55" s="195"/>
      <c r="M55" s="196">
        <f t="shared" si="18"/>
        <v>1</v>
      </c>
      <c r="N55" s="196"/>
      <c r="O55" s="139"/>
      <c r="P55" s="139"/>
      <c r="Q55" s="177">
        <v>113.0</v>
      </c>
      <c r="R55" s="189">
        <v>40.5</v>
      </c>
      <c r="S55" s="177">
        <f t="shared" si="9"/>
        <v>2.04</v>
      </c>
      <c r="T55" s="160">
        <f t="shared" si="10"/>
        <v>1</v>
      </c>
      <c r="U55" s="160">
        <f t="shared" si="11"/>
        <v>2.04</v>
      </c>
      <c r="V55" s="190">
        <f t="shared" si="12"/>
        <v>104.943924</v>
      </c>
      <c r="W55" s="177">
        <f t="shared" ref="W55:X55" si="42">C55/100</f>
        <v>0.73</v>
      </c>
      <c r="X55" s="177">
        <f t="shared" si="42"/>
        <v>1.74</v>
      </c>
      <c r="Y55" s="177">
        <f t="shared" si="14"/>
        <v>2.04</v>
      </c>
      <c r="Z55" s="191">
        <f t="shared" si="15"/>
        <v>2.591208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27.0</v>
      </c>
      <c r="B56" s="192" t="s">
        <v>78</v>
      </c>
      <c r="C56" s="192">
        <v>54.0</v>
      </c>
      <c r="D56" s="192">
        <v>152.0</v>
      </c>
      <c r="E56" s="192">
        <v>205.0</v>
      </c>
      <c r="F56" s="192">
        <f t="shared" si="5"/>
        <v>0</v>
      </c>
      <c r="G56" s="192">
        <f t="shared" si="6"/>
        <v>68.14692</v>
      </c>
      <c r="H56" s="193">
        <f t="shared" si="7"/>
        <v>68.14692</v>
      </c>
      <c r="I56" s="192">
        <v>1.0</v>
      </c>
      <c r="J56" s="194">
        <f t="shared" si="8"/>
        <v>68.14692</v>
      </c>
      <c r="K56" s="139"/>
      <c r="L56" s="195"/>
      <c r="M56" s="196">
        <f t="shared" si="18"/>
        <v>1</v>
      </c>
      <c r="N56" s="196"/>
      <c r="O56" s="139"/>
      <c r="P56" s="139"/>
      <c r="Q56" s="177">
        <v>76.5</v>
      </c>
      <c r="R56" s="189">
        <v>40.5</v>
      </c>
      <c r="S56" s="177">
        <f t="shared" si="9"/>
        <v>2.05</v>
      </c>
      <c r="T56" s="160">
        <f t="shared" si="10"/>
        <v>1</v>
      </c>
      <c r="U56" s="160">
        <f t="shared" si="11"/>
        <v>2.05</v>
      </c>
      <c r="V56" s="190">
        <f t="shared" si="12"/>
        <v>68.14692</v>
      </c>
      <c r="W56" s="177">
        <f t="shared" ref="W56:X56" si="43">C56/100</f>
        <v>0.54</v>
      </c>
      <c r="X56" s="177">
        <f t="shared" si="43"/>
        <v>1.52</v>
      </c>
      <c r="Y56" s="177">
        <f t="shared" si="14"/>
        <v>2.05</v>
      </c>
      <c r="Z56" s="191">
        <f t="shared" si="15"/>
        <v>1.68264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7">C60/100</f>
        <v>0</v>
      </c>
      <c r="X60" s="177">
        <f t="shared" si="47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8">C61/100</f>
        <v>0</v>
      </c>
      <c r="X61" s="177">
        <f t="shared" si="48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49">C62/100</f>
        <v>0</v>
      </c>
      <c r="X62" s="177">
        <f t="shared" si="49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0">C63/100</f>
        <v>0</v>
      </c>
      <c r="X63" s="177">
        <f t="shared" si="50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1">C64/100</f>
        <v>0</v>
      </c>
      <c r="X64" s="177">
        <f t="shared" si="51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59.0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2">C65/100</f>
        <v>0</v>
      </c>
      <c r="X65" s="177">
        <f t="shared" si="52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77">
        <f t="shared" ref="L66:L67" si="54">D66*25.4/1000</f>
        <v>0</v>
      </c>
      <c r="M66" s="160" t="str">
        <f t="shared" ref="M66:M81" si="55">+I66</f>
        <v/>
      </c>
      <c r="N66" s="160">
        <f t="shared" ref="N66:N67" si="56">M66*L66</f>
        <v>0</v>
      </c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3">C66/100</f>
        <v>0</v>
      </c>
      <c r="X66" s="177">
        <f t="shared" si="53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>
        <f t="shared" si="54"/>
        <v>0</v>
      </c>
      <c r="M67" s="196" t="str">
        <f t="shared" si="55"/>
        <v/>
      </c>
      <c r="N67" s="196">
        <f t="shared" si="56"/>
        <v>0</v>
      </c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5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5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5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5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1">C71/100</f>
        <v>0</v>
      </c>
      <c r="X71" s="177">
        <f t="shared" si="61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5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2">C72/100</f>
        <v>0</v>
      </c>
      <c r="X72" s="177">
        <f t="shared" si="62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5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3">C73/100</f>
        <v>0</v>
      </c>
      <c r="X73" s="177">
        <f t="shared" si="63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5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4">C74/100</f>
        <v>0</v>
      </c>
      <c r="X74" s="177">
        <f t="shared" si="64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69.0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5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5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5"/>
        <v/>
      </c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7">C77/100</f>
        <v>0</v>
      </c>
      <c r="X77" s="177">
        <f t="shared" si="67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5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8">C78/100</f>
        <v>0</v>
      </c>
      <c r="X78" s="197">
        <f t="shared" si="68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5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9">C79/100</f>
        <v>0</v>
      </c>
      <c r="X79" s="197">
        <f t="shared" si="69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5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0">C80/100</f>
        <v>0</v>
      </c>
      <c r="X80" s="197">
        <f t="shared" si="70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5"/>
        <v/>
      </c>
      <c r="N81" s="196"/>
      <c r="O81" s="139"/>
      <c r="P81" s="139"/>
      <c r="Q81" s="177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199">
        <f t="shared" si="12"/>
        <v>0</v>
      </c>
      <c r="W81" s="197">
        <f t="shared" ref="W81:X81" si="71">C81/100</f>
        <v>0</v>
      </c>
      <c r="X81" s="197">
        <f t="shared" si="71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79.0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89.0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99.0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109.0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119.0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129.0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139.0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149.0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159.0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169.0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179.0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189.0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199.0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208.0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209.0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210.0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211.0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212.0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8">C218/100</f>
        <v>0</v>
      </c>
      <c r="X218" s="197">
        <f t="shared" si="208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213.0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9">C219/100</f>
        <v>0</v>
      </c>
      <c r="X219" s="197">
        <f t="shared" si="209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214.0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0">C220/100</f>
        <v>0</v>
      </c>
      <c r="X220" s="197">
        <f t="shared" si="210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215.0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1">C221/100</f>
        <v>0</v>
      </c>
      <c r="X221" s="197">
        <f t="shared" si="211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216.0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2">C222/100</f>
        <v>0</v>
      </c>
      <c r="X222" s="197">
        <f t="shared" si="212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217.0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3">C223/100</f>
        <v>0</v>
      </c>
      <c r="X223" s="197">
        <f t="shared" si="213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177"/>
      <c r="C224" s="177"/>
      <c r="D224" s="177"/>
      <c r="E224" s="177"/>
      <c r="F224" s="177"/>
      <c r="G224" s="177"/>
      <c r="H224" s="180"/>
      <c r="I224" s="160"/>
      <c r="J224" s="202">
        <f>+Q285</f>
        <v>62.8</v>
      </c>
      <c r="K224" s="139"/>
      <c r="L224" s="139"/>
      <c r="M224" s="139"/>
      <c r="N224" s="139"/>
      <c r="O224" s="139"/>
      <c r="P224" s="139"/>
      <c r="Q224" s="139"/>
      <c r="R224" s="203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4">C224/100</f>
        <v>0</v>
      </c>
      <c r="X224" s="197">
        <f t="shared" si="214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60"/>
      <c r="B225" s="204"/>
      <c r="C225" s="204"/>
      <c r="D225" s="204"/>
      <c r="E225" s="204"/>
      <c r="F225" s="204"/>
      <c r="G225" s="204"/>
      <c r="H225" s="205"/>
      <c r="I225" s="206">
        <f>SUM(I30:I223)</f>
        <v>27</v>
      </c>
      <c r="J225" s="207">
        <f>SUM(J30:J224)</f>
        <v>22934.78424</v>
      </c>
      <c r="K225" s="208"/>
      <c r="L225" s="208"/>
      <c r="M225" s="208"/>
      <c r="N225" s="208"/>
      <c r="O225" s="208"/>
      <c r="P225" s="208"/>
      <c r="Q225" s="208"/>
      <c r="R225" s="141"/>
      <c r="S225" s="208">
        <f>SUMIFS($T$30:$T$223,$S$30:$S$223,"&gt;=3")</f>
        <v>18</v>
      </c>
      <c r="T225" s="208">
        <f t="shared" ref="T225:U225" si="215">SUM(T30:T223)</f>
        <v>27</v>
      </c>
      <c r="U225" s="208">
        <f t="shared" si="215"/>
        <v>529.71</v>
      </c>
      <c r="V225" s="208"/>
      <c r="W225" s="208"/>
      <c r="X225" s="208"/>
      <c r="Y225" s="208"/>
      <c r="Z225" s="209">
        <f>SUM(Z30:Z224)</f>
        <v>1081.298748</v>
      </c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08"/>
      <c r="AO225" s="208"/>
      <c r="AP225" s="208"/>
      <c r="AQ225" s="208"/>
      <c r="AR225" s="208"/>
      <c r="AS225" s="208"/>
      <c r="AT225" s="208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201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03"/>
      <c r="S227" s="139"/>
      <c r="T227" s="139" t="s">
        <v>48</v>
      </c>
      <c r="U227" s="139" t="s">
        <v>59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31</v>
      </c>
      <c r="T228" s="210">
        <f>SUMIFS($J$30:$J$223,$S$30:$S$223,"&gt;=3")</f>
        <v>22239.13275</v>
      </c>
      <c r="U228" s="211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 t="s">
        <v>32</v>
      </c>
      <c r="B229" s="139"/>
      <c r="C229" s="139"/>
      <c r="D229" s="139" t="s">
        <v>33</v>
      </c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34</v>
      </c>
      <c r="T229" s="212">
        <f>J225-T228</f>
        <v>695.6514835</v>
      </c>
      <c r="U229" s="211">
        <f>+SUMIFS($U$30:$U$223,$S$30:$S$223,"&gt;=3")</f>
        <v>514.26</v>
      </c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03"/>
      <c r="S230" s="139"/>
      <c r="T230" s="213">
        <f>+I225</f>
        <v>27</v>
      </c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39.0" customHeight="1">
      <c r="A231" s="177"/>
      <c r="B231" s="160" t="s">
        <v>12</v>
      </c>
      <c r="C231" s="178" t="s">
        <v>60</v>
      </c>
      <c r="D231" s="52"/>
      <c r="E231" s="53"/>
      <c r="F231" s="179"/>
      <c r="G231" s="179"/>
      <c r="H231" s="180" t="s">
        <v>14</v>
      </c>
      <c r="I231" s="160" t="s">
        <v>15</v>
      </c>
      <c r="J231" s="160" t="s">
        <v>16</v>
      </c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1.0</v>
      </c>
      <c r="B232" s="214"/>
      <c r="C232" s="214"/>
      <c r="D232" s="214"/>
      <c r="E232" s="214"/>
      <c r="F232" s="214">
        <f t="shared" ref="F232:F245" si="216">1-VALUE(IF(RIGHT(B232, 1)="%", RIGHT(B232, 3), 0))</f>
        <v>1</v>
      </c>
      <c r="G232" s="214">
        <f t="shared" ref="G232:G245" si="217">+Q232*C232/100*D232/100*E232/100</f>
        <v>0</v>
      </c>
      <c r="H232" s="215">
        <f t="shared" ref="H232:H245" si="218">IF(F232=0, G232, F232*G232)</f>
        <v>0</v>
      </c>
      <c r="I232" s="214"/>
      <c r="J232" s="216"/>
      <c r="K232" s="139"/>
      <c r="L232" s="177">
        <f t="shared" ref="L232:L240" si="219">D232*25.4/1000</f>
        <v>0</v>
      </c>
      <c r="M232" s="160" t="str">
        <f t="shared" ref="M232:M236" si="220">+I232</f>
        <v/>
      </c>
      <c r="N232" s="160">
        <f t="shared" ref="N232:N236" si="221">M232*L232</f>
        <v>0</v>
      </c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2.0</v>
      </c>
      <c r="B233" s="214"/>
      <c r="C233" s="214"/>
      <c r="D233" s="214"/>
      <c r="E233" s="214"/>
      <c r="F233" s="214">
        <f t="shared" si="216"/>
        <v>1</v>
      </c>
      <c r="G233" s="214">
        <f t="shared" si="217"/>
        <v>0</v>
      </c>
      <c r="H233" s="215">
        <f t="shared" si="218"/>
        <v>0</v>
      </c>
      <c r="I233" s="214"/>
      <c r="J233" s="216">
        <f t="shared" ref="J233:J245" si="222">+I233*H233</f>
        <v>0</v>
      </c>
      <c r="K233" s="139"/>
      <c r="L233" s="177">
        <f t="shared" si="219"/>
        <v>0</v>
      </c>
      <c r="M233" s="160" t="str">
        <f t="shared" si="220"/>
        <v/>
      </c>
      <c r="N233" s="160">
        <f t="shared" si="221"/>
        <v>0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3.0</v>
      </c>
      <c r="B234" s="217"/>
      <c r="C234" s="217"/>
      <c r="D234" s="217"/>
      <c r="E234" s="217"/>
      <c r="F234" s="217">
        <f t="shared" si="216"/>
        <v>1</v>
      </c>
      <c r="G234" s="217">
        <f t="shared" si="217"/>
        <v>0</v>
      </c>
      <c r="H234" s="218">
        <f t="shared" si="218"/>
        <v>0</v>
      </c>
      <c r="I234" s="217"/>
      <c r="J234" s="194">
        <f t="shared" si="222"/>
        <v>0</v>
      </c>
      <c r="K234" s="139"/>
      <c r="L234" s="177">
        <f t="shared" si="219"/>
        <v>0</v>
      </c>
      <c r="M234" s="160" t="str">
        <f t="shared" si="220"/>
        <v/>
      </c>
      <c r="N234" s="160">
        <f t="shared" si="221"/>
        <v>0</v>
      </c>
      <c r="O234" s="139"/>
      <c r="P234" s="139"/>
      <c r="Q234" s="139"/>
      <c r="R234" s="139"/>
      <c r="S234" s="21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4.0</v>
      </c>
      <c r="B235" s="217"/>
      <c r="C235" s="217"/>
      <c r="D235" s="217"/>
      <c r="E235" s="217"/>
      <c r="F235" s="217">
        <f t="shared" si="216"/>
        <v>1</v>
      </c>
      <c r="G235" s="217">
        <f t="shared" si="217"/>
        <v>0</v>
      </c>
      <c r="H235" s="218">
        <f t="shared" si="218"/>
        <v>0</v>
      </c>
      <c r="I235" s="217"/>
      <c r="J235" s="194">
        <f t="shared" si="222"/>
        <v>0</v>
      </c>
      <c r="K235" s="139"/>
      <c r="L235" s="177">
        <f t="shared" si="219"/>
        <v>0</v>
      </c>
      <c r="M235" s="160" t="str">
        <f t="shared" si="220"/>
        <v/>
      </c>
      <c r="N235" s="160">
        <f t="shared" si="221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customHeight="1">
      <c r="A236" s="154">
        <v>5.0</v>
      </c>
      <c r="B236" s="217"/>
      <c r="C236" s="217"/>
      <c r="D236" s="217"/>
      <c r="E236" s="217"/>
      <c r="F236" s="217">
        <f t="shared" si="216"/>
        <v>1</v>
      </c>
      <c r="G236" s="217">
        <f t="shared" si="217"/>
        <v>0</v>
      </c>
      <c r="H236" s="218">
        <f t="shared" si="218"/>
        <v>0</v>
      </c>
      <c r="I236" s="217"/>
      <c r="J236" s="194">
        <f t="shared" si="222"/>
        <v>0</v>
      </c>
      <c r="K236" s="139"/>
      <c r="L236" s="177">
        <f t="shared" si="219"/>
        <v>0</v>
      </c>
      <c r="M236" s="160" t="str">
        <f t="shared" si="220"/>
        <v/>
      </c>
      <c r="N236" s="160">
        <f t="shared" si="221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6.0</v>
      </c>
      <c r="B237" s="217"/>
      <c r="C237" s="217"/>
      <c r="D237" s="217"/>
      <c r="E237" s="217"/>
      <c r="F237" s="217">
        <f t="shared" si="216"/>
        <v>1</v>
      </c>
      <c r="G237" s="217">
        <f t="shared" si="217"/>
        <v>0</v>
      </c>
      <c r="H237" s="218">
        <f t="shared" si="218"/>
        <v>0</v>
      </c>
      <c r="I237" s="217"/>
      <c r="J237" s="194">
        <f t="shared" si="222"/>
        <v>0</v>
      </c>
      <c r="K237" s="139"/>
      <c r="L237" s="139">
        <f t="shared" si="219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7.0</v>
      </c>
      <c r="B238" s="217"/>
      <c r="C238" s="217"/>
      <c r="D238" s="217"/>
      <c r="E238" s="217"/>
      <c r="F238" s="217">
        <f t="shared" si="216"/>
        <v>1</v>
      </c>
      <c r="G238" s="217">
        <f t="shared" si="217"/>
        <v>0</v>
      </c>
      <c r="H238" s="218">
        <f t="shared" si="218"/>
        <v>0</v>
      </c>
      <c r="I238" s="217"/>
      <c r="J238" s="194">
        <f t="shared" si="222"/>
        <v>0</v>
      </c>
      <c r="K238" s="139"/>
      <c r="L238" s="139">
        <f t="shared" si="219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8.0</v>
      </c>
      <c r="B239" s="217"/>
      <c r="C239" s="217"/>
      <c r="D239" s="217"/>
      <c r="E239" s="217"/>
      <c r="F239" s="217">
        <f t="shared" si="216"/>
        <v>1</v>
      </c>
      <c r="G239" s="217">
        <f t="shared" si="217"/>
        <v>0</v>
      </c>
      <c r="H239" s="218">
        <f t="shared" si="218"/>
        <v>0</v>
      </c>
      <c r="I239" s="217"/>
      <c r="J239" s="194">
        <f t="shared" si="222"/>
        <v>0</v>
      </c>
      <c r="K239" s="139"/>
      <c r="L239" s="139">
        <f t="shared" si="219"/>
        <v>0</v>
      </c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9.0</v>
      </c>
      <c r="B240" s="217"/>
      <c r="C240" s="217"/>
      <c r="D240" s="217"/>
      <c r="E240" s="217"/>
      <c r="F240" s="217">
        <f t="shared" si="216"/>
        <v>1</v>
      </c>
      <c r="G240" s="217">
        <f t="shared" si="217"/>
        <v>0</v>
      </c>
      <c r="H240" s="218">
        <f t="shared" si="218"/>
        <v>0</v>
      </c>
      <c r="I240" s="217"/>
      <c r="J240" s="194">
        <f t="shared" si="222"/>
        <v>0</v>
      </c>
      <c r="K240" s="139"/>
      <c r="L240" s="139">
        <f t="shared" si="219"/>
        <v>0</v>
      </c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10.0</v>
      </c>
      <c r="B241" s="192"/>
      <c r="C241" s="192"/>
      <c r="D241" s="192"/>
      <c r="E241" s="192"/>
      <c r="F241" s="192">
        <f t="shared" si="216"/>
        <v>1</v>
      </c>
      <c r="G241" s="192">
        <f t="shared" si="217"/>
        <v>0</v>
      </c>
      <c r="H241" s="193">
        <f t="shared" si="218"/>
        <v>0</v>
      </c>
      <c r="I241" s="192"/>
      <c r="J241" s="194">
        <f t="shared" si="222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11.0</v>
      </c>
      <c r="B242" s="192"/>
      <c r="C242" s="192"/>
      <c r="D242" s="192"/>
      <c r="E242" s="192"/>
      <c r="F242" s="192">
        <f t="shared" si="216"/>
        <v>1</v>
      </c>
      <c r="G242" s="192">
        <f t="shared" si="217"/>
        <v>0</v>
      </c>
      <c r="H242" s="193">
        <f t="shared" si="218"/>
        <v>0</v>
      </c>
      <c r="I242" s="192"/>
      <c r="J242" s="194">
        <f t="shared" si="222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12.0</v>
      </c>
      <c r="B243" s="192"/>
      <c r="C243" s="192"/>
      <c r="D243" s="192"/>
      <c r="E243" s="192"/>
      <c r="F243" s="192">
        <f t="shared" si="216"/>
        <v>1</v>
      </c>
      <c r="G243" s="192">
        <f t="shared" si="217"/>
        <v>0</v>
      </c>
      <c r="H243" s="193">
        <f t="shared" si="218"/>
        <v>0</v>
      </c>
      <c r="I243" s="192"/>
      <c r="J243" s="194">
        <f t="shared" si="222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13.0</v>
      </c>
      <c r="B244" s="192"/>
      <c r="C244" s="192"/>
      <c r="D244" s="192"/>
      <c r="E244" s="192"/>
      <c r="F244" s="192">
        <f t="shared" si="216"/>
        <v>1</v>
      </c>
      <c r="G244" s="192">
        <f t="shared" si="217"/>
        <v>0</v>
      </c>
      <c r="H244" s="193">
        <f t="shared" si="218"/>
        <v>0</v>
      </c>
      <c r="I244" s="192"/>
      <c r="J244" s="194">
        <f t="shared" si="222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4">
        <v>14.0</v>
      </c>
      <c r="B245" s="192"/>
      <c r="C245" s="192"/>
      <c r="D245" s="192"/>
      <c r="E245" s="192"/>
      <c r="F245" s="192">
        <f t="shared" si="216"/>
        <v>1</v>
      </c>
      <c r="G245" s="192">
        <f t="shared" si="217"/>
        <v>0</v>
      </c>
      <c r="H245" s="193">
        <f t="shared" si="218"/>
        <v>0</v>
      </c>
      <c r="I245" s="192"/>
      <c r="J245" s="194">
        <f t="shared" si="222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/>
      <c r="B246" s="195"/>
      <c r="C246" s="195"/>
      <c r="D246" s="195"/>
      <c r="E246" s="195"/>
      <c r="F246" s="195"/>
      <c r="G246" s="195"/>
      <c r="H246" s="221" t="s">
        <v>38</v>
      </c>
      <c r="I246" s="195"/>
      <c r="J246" s="222">
        <f>SUM(J232:J245)</f>
        <v>0</v>
      </c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74"/>
      <c r="B247" s="144"/>
      <c r="C247" s="144"/>
      <c r="D247" s="144"/>
      <c r="E247" s="144"/>
      <c r="F247" s="144"/>
      <c r="G247" s="144"/>
      <c r="H247" s="145"/>
      <c r="I247" s="144"/>
      <c r="J247" s="175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 t="s">
        <v>39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42.0" customHeight="1">
      <c r="A252" s="177"/>
      <c r="B252" s="160" t="s">
        <v>12</v>
      </c>
      <c r="C252" s="178" t="s">
        <v>61</v>
      </c>
      <c r="D252" s="52"/>
      <c r="E252" s="53"/>
      <c r="F252" s="224"/>
      <c r="G252" s="224"/>
      <c r="H252" s="180" t="s">
        <v>14</v>
      </c>
      <c r="I252" s="225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1.0</v>
      </c>
      <c r="B253" s="182" t="s">
        <v>55</v>
      </c>
      <c r="C253" s="198"/>
      <c r="D253" s="198"/>
      <c r="E253" s="198"/>
      <c r="F253" s="198"/>
      <c r="G253" s="198"/>
      <c r="H253" s="226">
        <v>32.0</v>
      </c>
      <c r="I253" s="198">
        <v>1.0</v>
      </c>
      <c r="J253" s="194">
        <f t="shared" ref="J253:J283" si="223">+I253*H253</f>
        <v>32</v>
      </c>
      <c r="K253" s="177"/>
      <c r="L253" s="177"/>
      <c r="M253" s="177"/>
      <c r="N253" s="177"/>
      <c r="O253" s="177"/>
      <c r="P253" s="177"/>
      <c r="Q253" s="227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2.0</v>
      </c>
      <c r="B254" s="192" t="s">
        <v>55</v>
      </c>
      <c r="C254" s="198"/>
      <c r="D254" s="198"/>
      <c r="E254" s="198"/>
      <c r="F254" s="198"/>
      <c r="G254" s="198"/>
      <c r="H254" s="226">
        <v>23.0</v>
      </c>
      <c r="I254" s="198">
        <v>1.0</v>
      </c>
      <c r="J254" s="194">
        <f t="shared" si="223"/>
        <v>23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3.0</v>
      </c>
      <c r="B255" s="182" t="s">
        <v>70</v>
      </c>
      <c r="C255" s="198"/>
      <c r="D255" s="198"/>
      <c r="E255" s="198"/>
      <c r="F255" s="198"/>
      <c r="G255" s="198"/>
      <c r="H255" s="226">
        <v>30.0</v>
      </c>
      <c r="I255" s="198">
        <v>1.0</v>
      </c>
      <c r="J255" s="194">
        <f t="shared" si="223"/>
        <v>30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4.0</v>
      </c>
      <c r="B256" s="192" t="s">
        <v>70</v>
      </c>
      <c r="C256" s="198"/>
      <c r="D256" s="198"/>
      <c r="E256" s="198"/>
      <c r="F256" s="198"/>
      <c r="G256" s="198"/>
      <c r="H256" s="226">
        <v>24.0</v>
      </c>
      <c r="I256" s="198">
        <v>1.0</v>
      </c>
      <c r="J256" s="194">
        <f t="shared" si="223"/>
        <v>24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5.0</v>
      </c>
      <c r="B257" s="182" t="s">
        <v>78</v>
      </c>
      <c r="C257" s="198"/>
      <c r="D257" s="198"/>
      <c r="E257" s="198"/>
      <c r="F257" s="198"/>
      <c r="G257" s="198"/>
      <c r="H257" s="226">
        <v>31.0</v>
      </c>
      <c r="I257" s="198">
        <v>1.0</v>
      </c>
      <c r="J257" s="194">
        <f t="shared" si="223"/>
        <v>31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0">
        <v>6.0</v>
      </c>
      <c r="B258" s="192" t="s">
        <v>78</v>
      </c>
      <c r="C258" s="198"/>
      <c r="D258" s="198"/>
      <c r="E258" s="198"/>
      <c r="F258" s="198"/>
      <c r="G258" s="198"/>
      <c r="H258" s="226">
        <v>17.0</v>
      </c>
      <c r="I258" s="198">
        <v>1.0</v>
      </c>
      <c r="J258" s="194">
        <f t="shared" si="223"/>
        <v>17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11.0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3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12.0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3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13.0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3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14.0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3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15.0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3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16.0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3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17.0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3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18.0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3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19.0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3"/>
        <v>0</v>
      </c>
      <c r="K267" s="177"/>
      <c r="L267" s="177"/>
      <c r="M267" s="177"/>
      <c r="N267" s="177"/>
      <c r="O267" s="177"/>
      <c r="P267" s="177"/>
      <c r="Q267" s="227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20.0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3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21.0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3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22.0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23.0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3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24.0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3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25.0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3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26.0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3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27.0</v>
      </c>
      <c r="B275" s="228"/>
      <c r="C275" s="198"/>
      <c r="D275" s="198"/>
      <c r="E275" s="198"/>
      <c r="F275" s="198"/>
      <c r="G275" s="198"/>
      <c r="H275" s="198"/>
      <c r="I275" s="198"/>
      <c r="J275" s="194">
        <f t="shared" si="223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28.0</v>
      </c>
      <c r="B276" s="228"/>
      <c r="C276" s="198"/>
      <c r="D276" s="198"/>
      <c r="E276" s="198"/>
      <c r="F276" s="198"/>
      <c r="G276" s="198"/>
      <c r="H276" s="198"/>
      <c r="I276" s="198"/>
      <c r="J276" s="194">
        <f t="shared" si="223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29.0</v>
      </c>
      <c r="B277" s="229"/>
      <c r="C277" s="198"/>
      <c r="D277" s="198"/>
      <c r="E277" s="198"/>
      <c r="F277" s="198"/>
      <c r="G277" s="198"/>
      <c r="H277" s="198"/>
      <c r="I277" s="198"/>
      <c r="J277" s="194">
        <f t="shared" si="223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30.0</v>
      </c>
      <c r="B278" s="229"/>
      <c r="C278" s="198"/>
      <c r="D278" s="198"/>
      <c r="E278" s="198"/>
      <c r="F278" s="198"/>
      <c r="G278" s="198"/>
      <c r="H278" s="226"/>
      <c r="I278" s="198"/>
      <c r="J278" s="194">
        <f t="shared" si="223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31.0</v>
      </c>
      <c r="B279" s="217"/>
      <c r="C279" s="198"/>
      <c r="D279" s="198"/>
      <c r="E279" s="198"/>
      <c r="F279" s="198"/>
      <c r="G279" s="198"/>
      <c r="H279" s="226"/>
      <c r="I279" s="198"/>
      <c r="J279" s="194">
        <f t="shared" si="223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32.0</v>
      </c>
      <c r="B280" s="217"/>
      <c r="C280" s="160"/>
      <c r="D280" s="160"/>
      <c r="E280" s="160"/>
      <c r="F280" s="160"/>
      <c r="G280" s="160"/>
      <c r="H280" s="160"/>
      <c r="I280" s="160"/>
      <c r="J280" s="194">
        <f t="shared" si="223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33.0</v>
      </c>
      <c r="B281" s="229"/>
      <c r="C281" s="160"/>
      <c r="D281" s="160"/>
      <c r="E281" s="160"/>
      <c r="F281" s="160"/>
      <c r="G281" s="160"/>
      <c r="H281" s="160"/>
      <c r="I281" s="160"/>
      <c r="J281" s="194">
        <f t="shared" si="223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34.0</v>
      </c>
      <c r="B282" s="230"/>
      <c r="C282" s="160"/>
      <c r="D282" s="160"/>
      <c r="E282" s="160"/>
      <c r="F282" s="160"/>
      <c r="G282" s="160"/>
      <c r="H282" s="160"/>
      <c r="I282" s="160"/>
      <c r="J282" s="194">
        <f t="shared" si="223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35.0</v>
      </c>
      <c r="B283" s="231"/>
      <c r="C283" s="160"/>
      <c r="D283" s="160"/>
      <c r="E283" s="160"/>
      <c r="F283" s="160"/>
      <c r="G283" s="160"/>
      <c r="H283" s="160"/>
      <c r="I283" s="160"/>
      <c r="J283" s="194">
        <f t="shared" si="223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 t="s">
        <v>38</v>
      </c>
      <c r="I284" s="139"/>
      <c r="J284" s="232">
        <f>SUM(J253:J283)</f>
        <v>157</v>
      </c>
      <c r="K284" s="233"/>
      <c r="L284" s="233"/>
      <c r="M284" s="233"/>
      <c r="N284" s="233"/>
      <c r="O284" s="233"/>
      <c r="P284" s="233"/>
      <c r="Q284" s="233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44"/>
      <c r="B285" s="144"/>
      <c r="C285" s="144"/>
      <c r="D285" s="144"/>
      <c r="E285" s="144"/>
      <c r="F285" s="144"/>
      <c r="G285" s="144"/>
      <c r="H285" s="145"/>
      <c r="I285" s="173"/>
      <c r="J285" s="204">
        <f>+J284*60%</f>
        <v>94.2</v>
      </c>
      <c r="K285" s="204"/>
      <c r="L285" s="204"/>
      <c r="M285" s="204"/>
      <c r="N285" s="204"/>
      <c r="O285" s="204"/>
      <c r="P285" s="204"/>
      <c r="Q285" s="204">
        <f>+J284*40%</f>
        <v>62.8</v>
      </c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34" t="s">
        <v>41</v>
      </c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57.0" customHeight="1">
      <c r="A289" s="235"/>
      <c r="B289" s="236" t="s">
        <v>42</v>
      </c>
      <c r="C289" s="236" t="s">
        <v>43</v>
      </c>
      <c r="D289" s="236" t="s">
        <v>44</v>
      </c>
      <c r="E289" s="236" t="s">
        <v>45</v>
      </c>
      <c r="F289" s="236"/>
      <c r="G289" s="236"/>
      <c r="H289" s="237" t="s">
        <v>46</v>
      </c>
      <c r="I289" s="238" t="s">
        <v>47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39" t="s">
        <v>48</v>
      </c>
      <c r="B290" s="240">
        <f>+E23</f>
        <v>25127.5583</v>
      </c>
      <c r="C290" s="241">
        <f>+J225</f>
        <v>22934.78424</v>
      </c>
      <c r="D290" s="241">
        <f>+J246</f>
        <v>0</v>
      </c>
      <c r="E290" s="242">
        <f>J285</f>
        <v>94.2</v>
      </c>
      <c r="F290" s="242"/>
      <c r="G290" s="242"/>
      <c r="H290" s="243">
        <f>+I23</f>
        <v>2276.860659</v>
      </c>
      <c r="I290" s="244">
        <f>+B290-C290-D290-E290-H290</f>
        <v>-178.2865967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45" t="s">
        <v>49</v>
      </c>
      <c r="B291" s="246"/>
      <c r="C291" s="247">
        <f>+C290/B290</f>
        <v>0.9127342961</v>
      </c>
      <c r="D291" s="247">
        <f>+D290/B290</f>
        <v>0</v>
      </c>
      <c r="E291" s="247">
        <f>+E290/B290</f>
        <v>0.00374887201</v>
      </c>
      <c r="F291" s="247"/>
      <c r="G291" s="247"/>
      <c r="H291" s="248">
        <f>+H290/B290</f>
        <v>0.09061209336</v>
      </c>
      <c r="I291" s="249">
        <f>+I290/B290</f>
        <v>-0.007095261487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163"/>
      <c r="B292" s="220"/>
      <c r="C292" s="250"/>
      <c r="D292" s="250"/>
      <c r="E292" s="250"/>
      <c r="F292" s="250"/>
      <c r="G292" s="250"/>
      <c r="H292" s="251"/>
      <c r="I292" s="252"/>
      <c r="J292" s="139"/>
      <c r="K292" s="139"/>
      <c r="L292" s="139"/>
      <c r="M292" s="139"/>
      <c r="N292" s="139"/>
      <c r="O292" s="139"/>
      <c r="P292" s="139"/>
      <c r="Q292" s="139"/>
      <c r="R292" s="141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3"/>
      <c r="B293" s="254"/>
      <c r="C293" s="254"/>
      <c r="D293" s="254" t="s">
        <v>50</v>
      </c>
      <c r="E293" s="254" t="s">
        <v>48</v>
      </c>
      <c r="F293" s="254"/>
      <c r="G293" s="254"/>
      <c r="H293" s="255">
        <f>+D290+E290+H290+I290</f>
        <v>2192.774062</v>
      </c>
      <c r="I293" s="256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7"/>
      <c r="B294" s="139"/>
      <c r="C294" s="139"/>
      <c r="D294" s="139"/>
      <c r="E294" s="139" t="s">
        <v>49</v>
      </c>
      <c r="F294" s="139"/>
      <c r="G294" s="139"/>
      <c r="H294" s="251">
        <f>+H293/B290</f>
        <v>0.08726570389</v>
      </c>
      <c r="I294" s="258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7"/>
      <c r="B295" s="139"/>
      <c r="C295" s="139" t="s">
        <v>51</v>
      </c>
      <c r="D295" s="139"/>
      <c r="E295" s="139"/>
      <c r="F295" s="139"/>
      <c r="G295" s="139"/>
      <c r="H295" s="140"/>
      <c r="I295" s="258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7"/>
      <c r="B296" s="139"/>
      <c r="C296" s="139"/>
      <c r="D296" s="139" t="s">
        <v>52</v>
      </c>
      <c r="E296" s="139"/>
      <c r="F296" s="139"/>
      <c r="G296" s="139"/>
      <c r="H296" s="140">
        <f>+H295*(H293-H290)</f>
        <v>0</v>
      </c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9.5" customHeight="1">
      <c r="A297" s="259"/>
      <c r="B297" s="260"/>
      <c r="C297" s="260"/>
      <c r="D297" s="260"/>
      <c r="E297" s="260"/>
      <c r="F297" s="260"/>
      <c r="G297" s="260"/>
      <c r="H297" s="261"/>
      <c r="I297" s="262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1:E231"/>
    <mergeCell ref="C252:E25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78</v>
      </c>
      <c r="C8" s="154">
        <v>40.5</v>
      </c>
      <c r="D8" s="155">
        <v>0.0395</v>
      </c>
      <c r="E8" s="156">
        <f>258.282*38</f>
        <v>9814.716</v>
      </c>
      <c r="F8" s="156"/>
      <c r="G8" s="156"/>
      <c r="H8" s="157">
        <v>38.0</v>
      </c>
      <c r="I8" s="158">
        <f t="shared" ref="I8:I24" si="1">+D8*E8</f>
        <v>387.681282</v>
      </c>
      <c r="J8" s="159">
        <f t="shared" ref="J8:J24" si="2">E8-I8</f>
        <v>9427.034718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222.39*102.2</f>
        <v>22728.258</v>
      </c>
      <c r="F9" s="156"/>
      <c r="G9" s="156"/>
      <c r="H9" s="157">
        <v>102.2</v>
      </c>
      <c r="I9" s="158">
        <f t="shared" si="1"/>
        <v>1829.624769</v>
      </c>
      <c r="J9" s="159">
        <f t="shared" si="2"/>
        <v>20898.63323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90</v>
      </c>
      <c r="C10" s="154">
        <v>26.5</v>
      </c>
      <c r="D10" s="155">
        <v>0.0563</v>
      </c>
      <c r="E10" s="156">
        <f>230.528*12.6</f>
        <v>2904.6528</v>
      </c>
      <c r="F10" s="156"/>
      <c r="G10" s="156"/>
      <c r="H10" s="157">
        <v>12.6</v>
      </c>
      <c r="I10" s="158">
        <f t="shared" si="1"/>
        <v>163.5319526</v>
      </c>
      <c r="J10" s="159">
        <f t="shared" si="2"/>
        <v>2741.120847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91</v>
      </c>
      <c r="C11" s="154">
        <v>22.5</v>
      </c>
      <c r="D11" s="161">
        <v>0.0737</v>
      </c>
      <c r="E11" s="162">
        <f>261.01*3</f>
        <v>783.03</v>
      </c>
      <c r="F11" s="162"/>
      <c r="G11" s="162"/>
      <c r="H11" s="157">
        <v>3.0</v>
      </c>
      <c r="I11" s="158">
        <f t="shared" si="1"/>
        <v>57.709311</v>
      </c>
      <c r="J11" s="159">
        <f t="shared" si="2"/>
        <v>725.320689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91</v>
      </c>
      <c r="C12" s="160">
        <v>22.5</v>
      </c>
      <c r="D12" s="161">
        <v>0.0737</v>
      </c>
      <c r="E12" s="162">
        <f>278.441*38</f>
        <v>10580.758</v>
      </c>
      <c r="F12" s="162"/>
      <c r="G12" s="162"/>
      <c r="H12" s="157">
        <v>38.0</v>
      </c>
      <c r="I12" s="158">
        <f t="shared" si="1"/>
        <v>779.8018646</v>
      </c>
      <c r="J12" s="159">
        <f t="shared" si="2"/>
        <v>9800.956135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46811.4148</v>
      </c>
      <c r="F25" s="168"/>
      <c r="G25" s="168"/>
      <c r="H25" s="169"/>
      <c r="I25" s="170">
        <f t="shared" ref="I25:J25" si="3">SUM(I8:I24)</f>
        <v>3218.349179</v>
      </c>
      <c r="J25" s="171">
        <f t="shared" si="3"/>
        <v>43593.06562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78</v>
      </c>
      <c r="C32" s="183">
        <v>86.0</v>
      </c>
      <c r="D32" s="183">
        <v>203.0</v>
      </c>
      <c r="E32" s="183">
        <v>147.0</v>
      </c>
      <c r="F32" s="183">
        <f t="shared" ref="F32:F241" si="5">VALUE(IF(RIGHT(B32, 1)="%", RIGHT(B32, 3), 0))</f>
        <v>0</v>
      </c>
      <c r="G32" s="183">
        <f t="shared" ref="G32:G241" si="6">+R32*C32/100*D32/100*E32/100</f>
        <v>103.936203</v>
      </c>
      <c r="H32" s="184">
        <f t="shared" ref="H32:H241" si="7">IF(F32=0, G32, F32*G32)</f>
        <v>103.936203</v>
      </c>
      <c r="I32" s="183">
        <v>1.0</v>
      </c>
      <c r="J32" s="185">
        <f t="shared" ref="J32:J241" si="8">+I32*H32</f>
        <v>103.936203</v>
      </c>
      <c r="K32" s="186"/>
      <c r="L32" s="187">
        <f>D32*25.4/1000</f>
        <v>5.1562</v>
      </c>
      <c r="M32" s="188">
        <f>+I32</f>
        <v>1</v>
      </c>
      <c r="N32" s="188">
        <f>M32*L32</f>
        <v>5.1562</v>
      </c>
      <c r="O32" s="186"/>
      <c r="P32" s="186"/>
      <c r="Q32" s="187">
        <v>108.0</v>
      </c>
      <c r="R32" s="189">
        <v>40.5</v>
      </c>
      <c r="S32" s="177">
        <f t="shared" ref="S32:S242" si="9">E32/100</f>
        <v>1.47</v>
      </c>
      <c r="T32" s="160">
        <f t="shared" ref="T32:T242" si="10">I32</f>
        <v>1</v>
      </c>
      <c r="U32" s="160">
        <f t="shared" ref="U32:U242" si="11">T32*S32</f>
        <v>1.47</v>
      </c>
      <c r="V32" s="190">
        <f t="shared" ref="V32:V99" si="12">R32*C32/100*D32/100*E32/100</f>
        <v>103.936203</v>
      </c>
      <c r="W32" s="177">
        <f t="shared" ref="W32:X32" si="4">C32/100</f>
        <v>0.86</v>
      </c>
      <c r="X32" s="177">
        <f t="shared" si="4"/>
        <v>2.03</v>
      </c>
      <c r="Y32" s="177">
        <f t="shared" ref="Y32:Y242" si="14">U32</f>
        <v>1.47</v>
      </c>
      <c r="Z32" s="191">
        <f t="shared" ref="Z32:Z242" si="15">W32*X32*Y32</f>
        <v>2.566326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78</v>
      </c>
      <c r="C33" s="192">
        <v>88.0</v>
      </c>
      <c r="D33" s="192">
        <v>203.0</v>
      </c>
      <c r="E33" s="192">
        <v>200.0</v>
      </c>
      <c r="F33" s="192">
        <f t="shared" si="5"/>
        <v>0</v>
      </c>
      <c r="G33" s="192">
        <f t="shared" si="6"/>
        <v>144.6984</v>
      </c>
      <c r="H33" s="193">
        <f t="shared" si="7"/>
        <v>144.6984</v>
      </c>
      <c r="I33" s="192">
        <v>1.0</v>
      </c>
      <c r="J33" s="194">
        <f t="shared" si="8"/>
        <v>144.6984</v>
      </c>
      <c r="K33" s="139"/>
      <c r="L33" s="177"/>
      <c r="M33" s="160"/>
      <c r="N33" s="160"/>
      <c r="O33" s="139"/>
      <c r="P33" s="139"/>
      <c r="Q33" s="177">
        <v>153.0</v>
      </c>
      <c r="R33" s="189">
        <v>40.5</v>
      </c>
      <c r="S33" s="177">
        <f t="shared" si="9"/>
        <v>2</v>
      </c>
      <c r="T33" s="160">
        <f t="shared" si="10"/>
        <v>1</v>
      </c>
      <c r="U33" s="160">
        <f t="shared" si="11"/>
        <v>2</v>
      </c>
      <c r="V33" s="190">
        <f t="shared" si="12"/>
        <v>144.6984</v>
      </c>
      <c r="W33" s="177">
        <f t="shared" ref="W33:X33" si="13">C33/100</f>
        <v>0.88</v>
      </c>
      <c r="X33" s="177">
        <f t="shared" si="13"/>
        <v>2.03</v>
      </c>
      <c r="Y33" s="177">
        <f t="shared" si="14"/>
        <v>2</v>
      </c>
      <c r="Z33" s="191">
        <f t="shared" si="15"/>
        <v>3.5728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78</v>
      </c>
      <c r="C34" s="192">
        <v>71.0</v>
      </c>
      <c r="D34" s="192">
        <v>203.0</v>
      </c>
      <c r="E34" s="192">
        <v>265.0</v>
      </c>
      <c r="F34" s="192">
        <f t="shared" si="5"/>
        <v>0</v>
      </c>
      <c r="G34" s="192">
        <f t="shared" si="6"/>
        <v>154.6875225</v>
      </c>
      <c r="H34" s="193">
        <f t="shared" si="7"/>
        <v>154.6875225</v>
      </c>
      <c r="I34" s="192">
        <v>1.0</v>
      </c>
      <c r="J34" s="194">
        <f t="shared" si="8"/>
        <v>154.6875225</v>
      </c>
      <c r="K34" s="139"/>
      <c r="L34" s="177">
        <f t="shared" ref="L34:L56" si="17">D34*25.4/1000</f>
        <v>5.1562</v>
      </c>
      <c r="M34" s="160">
        <f t="shared" ref="M34:M69" si="18">+I34</f>
        <v>1</v>
      </c>
      <c r="N34" s="160">
        <f t="shared" ref="N34:N56" si="19">M34*L34</f>
        <v>5.1562</v>
      </c>
      <c r="O34" s="139"/>
      <c r="P34" s="139"/>
      <c r="Q34" s="177">
        <v>184.0</v>
      </c>
      <c r="R34" s="189">
        <v>40.5</v>
      </c>
      <c r="S34" s="177">
        <f t="shared" si="9"/>
        <v>2.65</v>
      </c>
      <c r="T34" s="160">
        <f t="shared" si="10"/>
        <v>1</v>
      </c>
      <c r="U34" s="160">
        <f t="shared" si="11"/>
        <v>2.65</v>
      </c>
      <c r="V34" s="190">
        <f t="shared" si="12"/>
        <v>154.6875225</v>
      </c>
      <c r="W34" s="177">
        <f t="shared" ref="W34:X34" si="16">C34/100</f>
        <v>0.71</v>
      </c>
      <c r="X34" s="177">
        <f t="shared" si="16"/>
        <v>2.03</v>
      </c>
      <c r="Y34" s="177">
        <f t="shared" si="14"/>
        <v>2.65</v>
      </c>
      <c r="Z34" s="191">
        <f t="shared" si="15"/>
        <v>3.819445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78</v>
      </c>
      <c r="C35" s="192">
        <v>90.0</v>
      </c>
      <c r="D35" s="192">
        <v>204.0</v>
      </c>
      <c r="E35" s="192">
        <v>106.0</v>
      </c>
      <c r="F35" s="192">
        <f t="shared" si="5"/>
        <v>0</v>
      </c>
      <c r="G35" s="192">
        <f t="shared" si="6"/>
        <v>78.81948</v>
      </c>
      <c r="H35" s="193">
        <f t="shared" si="7"/>
        <v>78.81948</v>
      </c>
      <c r="I35" s="192">
        <v>1.0</v>
      </c>
      <c r="J35" s="194">
        <f t="shared" si="8"/>
        <v>78.81948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130.0</v>
      </c>
      <c r="R35" s="189">
        <v>40.5</v>
      </c>
      <c r="S35" s="177">
        <f t="shared" si="9"/>
        <v>1.06</v>
      </c>
      <c r="T35" s="160">
        <f t="shared" si="10"/>
        <v>1</v>
      </c>
      <c r="U35" s="160">
        <f t="shared" si="11"/>
        <v>1.06</v>
      </c>
      <c r="V35" s="190">
        <f t="shared" si="12"/>
        <v>78.81948</v>
      </c>
      <c r="W35" s="177">
        <f t="shared" ref="W35:X35" si="20">C35/100</f>
        <v>0.9</v>
      </c>
      <c r="X35" s="177">
        <f t="shared" si="20"/>
        <v>2.04</v>
      </c>
      <c r="Y35" s="177">
        <f t="shared" si="14"/>
        <v>1.06</v>
      </c>
      <c r="Z35" s="191">
        <f t="shared" si="15"/>
        <v>1.94616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78</v>
      </c>
      <c r="C36" s="192">
        <v>92.0</v>
      </c>
      <c r="D36" s="192">
        <v>204.0</v>
      </c>
      <c r="E36" s="192">
        <v>113.0</v>
      </c>
      <c r="F36" s="192">
        <f t="shared" si="5"/>
        <v>0</v>
      </c>
      <c r="G36" s="192">
        <f t="shared" si="6"/>
        <v>85.891752</v>
      </c>
      <c r="H36" s="193">
        <f t="shared" si="7"/>
        <v>85.891752</v>
      </c>
      <c r="I36" s="192">
        <v>1.0</v>
      </c>
      <c r="J36" s="194">
        <f t="shared" si="8"/>
        <v>85.891752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132.0</v>
      </c>
      <c r="R36" s="189">
        <v>40.5</v>
      </c>
      <c r="S36" s="177">
        <f t="shared" si="9"/>
        <v>1.13</v>
      </c>
      <c r="T36" s="160">
        <f t="shared" si="10"/>
        <v>1</v>
      </c>
      <c r="U36" s="160">
        <f t="shared" si="11"/>
        <v>1.13</v>
      </c>
      <c r="V36" s="190">
        <f t="shared" si="12"/>
        <v>85.891752</v>
      </c>
      <c r="W36" s="177">
        <f t="shared" ref="W36:X36" si="21">C36/100</f>
        <v>0.92</v>
      </c>
      <c r="X36" s="177">
        <f t="shared" si="21"/>
        <v>2.04</v>
      </c>
      <c r="Y36" s="177">
        <f t="shared" si="14"/>
        <v>1.13</v>
      </c>
      <c r="Z36" s="191">
        <f t="shared" si="15"/>
        <v>2.120784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78</v>
      </c>
      <c r="C37" s="192">
        <v>95.0</v>
      </c>
      <c r="D37" s="192">
        <v>203.0</v>
      </c>
      <c r="E37" s="192">
        <v>2873.0</v>
      </c>
      <c r="F37" s="192">
        <f t="shared" si="5"/>
        <v>0</v>
      </c>
      <c r="G37" s="192">
        <f t="shared" si="6"/>
        <v>2243.935103</v>
      </c>
      <c r="H37" s="193">
        <f t="shared" si="7"/>
        <v>2243.935103</v>
      </c>
      <c r="I37" s="192">
        <v>1.0</v>
      </c>
      <c r="J37" s="194">
        <f t="shared" si="8"/>
        <v>2243.935103</v>
      </c>
      <c r="K37" s="139"/>
      <c r="L37" s="177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7">
        <v>2230.0</v>
      </c>
      <c r="R37" s="189">
        <v>40.5</v>
      </c>
      <c r="S37" s="177">
        <f t="shared" si="9"/>
        <v>28.73</v>
      </c>
      <c r="T37" s="160">
        <f t="shared" si="10"/>
        <v>1</v>
      </c>
      <c r="U37" s="160">
        <f t="shared" si="11"/>
        <v>28.73</v>
      </c>
      <c r="V37" s="190">
        <f t="shared" si="12"/>
        <v>2243.935103</v>
      </c>
      <c r="W37" s="177">
        <f t="shared" ref="W37:X37" si="22">C37/100</f>
        <v>0.95</v>
      </c>
      <c r="X37" s="177">
        <f t="shared" si="22"/>
        <v>2.03</v>
      </c>
      <c r="Y37" s="177">
        <f t="shared" si="14"/>
        <v>28.73</v>
      </c>
      <c r="Z37" s="191">
        <f t="shared" si="15"/>
        <v>55.405805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78</v>
      </c>
      <c r="C38" s="192">
        <v>92.0</v>
      </c>
      <c r="D38" s="192">
        <v>203.0</v>
      </c>
      <c r="E38" s="192">
        <v>2870.0</v>
      </c>
      <c r="F38" s="192">
        <f t="shared" si="5"/>
        <v>0</v>
      </c>
      <c r="G38" s="192">
        <f t="shared" si="6"/>
        <v>2170.80486</v>
      </c>
      <c r="H38" s="193">
        <f t="shared" si="7"/>
        <v>2170.80486</v>
      </c>
      <c r="I38" s="192">
        <v>1.0</v>
      </c>
      <c r="J38" s="194">
        <f t="shared" si="8"/>
        <v>2170.80486</v>
      </c>
      <c r="K38" s="139"/>
      <c r="L38" s="177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7">
        <v>2180.0</v>
      </c>
      <c r="R38" s="189">
        <v>40.5</v>
      </c>
      <c r="S38" s="177">
        <f t="shared" si="9"/>
        <v>28.7</v>
      </c>
      <c r="T38" s="160">
        <f t="shared" si="10"/>
        <v>1</v>
      </c>
      <c r="U38" s="160">
        <f t="shared" si="11"/>
        <v>28.7</v>
      </c>
      <c r="V38" s="190">
        <f t="shared" si="12"/>
        <v>2170.80486</v>
      </c>
      <c r="W38" s="177">
        <f t="shared" ref="W38:X38" si="23">C38/100</f>
        <v>0.92</v>
      </c>
      <c r="X38" s="177">
        <f t="shared" si="23"/>
        <v>2.03</v>
      </c>
      <c r="Y38" s="177">
        <f t="shared" si="14"/>
        <v>28.7</v>
      </c>
      <c r="Z38" s="191">
        <f t="shared" si="15"/>
        <v>53.60012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78</v>
      </c>
      <c r="C39" s="192">
        <v>92.0</v>
      </c>
      <c r="D39" s="192">
        <v>203.0</v>
      </c>
      <c r="E39" s="192">
        <v>2875.0</v>
      </c>
      <c r="F39" s="192">
        <f t="shared" si="5"/>
        <v>0</v>
      </c>
      <c r="G39" s="192">
        <f t="shared" si="6"/>
        <v>2174.58675</v>
      </c>
      <c r="H39" s="193">
        <f t="shared" si="7"/>
        <v>2174.58675</v>
      </c>
      <c r="I39" s="192">
        <v>1.0</v>
      </c>
      <c r="J39" s="194">
        <f t="shared" si="8"/>
        <v>2174.58675</v>
      </c>
      <c r="K39" s="139"/>
      <c r="L39" s="177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7">
        <v>2235.0</v>
      </c>
      <c r="R39" s="189">
        <v>40.5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2174.58675</v>
      </c>
      <c r="W39" s="177">
        <f t="shared" ref="W39:X39" si="24">C39/100</f>
        <v>0.92</v>
      </c>
      <c r="X39" s="177">
        <f t="shared" si="24"/>
        <v>2.03</v>
      </c>
      <c r="Y39" s="177">
        <f t="shared" si="14"/>
        <v>28.75</v>
      </c>
      <c r="Z39" s="191">
        <f t="shared" si="15"/>
        <v>53.6935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78</v>
      </c>
      <c r="C40" s="192">
        <v>94.0</v>
      </c>
      <c r="D40" s="192">
        <v>203.0</v>
      </c>
      <c r="E40" s="192">
        <v>2872.0</v>
      </c>
      <c r="F40" s="192">
        <f t="shared" si="5"/>
        <v>0</v>
      </c>
      <c r="G40" s="192">
        <f t="shared" si="6"/>
        <v>2219.541912</v>
      </c>
      <c r="H40" s="193">
        <f t="shared" si="7"/>
        <v>2219.541912</v>
      </c>
      <c r="I40" s="192">
        <v>1.0</v>
      </c>
      <c r="J40" s="194">
        <f t="shared" si="8"/>
        <v>2219.541912</v>
      </c>
      <c r="K40" s="139"/>
      <c r="L40" s="177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7">
        <v>2240.0</v>
      </c>
      <c r="R40" s="189">
        <v>40.5</v>
      </c>
      <c r="S40" s="177">
        <f t="shared" si="9"/>
        <v>28.72</v>
      </c>
      <c r="T40" s="160">
        <f t="shared" si="10"/>
        <v>1</v>
      </c>
      <c r="U40" s="160">
        <f t="shared" si="11"/>
        <v>28.72</v>
      </c>
      <c r="V40" s="190">
        <f t="shared" si="12"/>
        <v>2219.541912</v>
      </c>
      <c r="W40" s="177">
        <f t="shared" ref="W40:X40" si="25">C40/100</f>
        <v>0.94</v>
      </c>
      <c r="X40" s="177">
        <f t="shared" si="25"/>
        <v>2.03</v>
      </c>
      <c r="Y40" s="177">
        <f t="shared" si="14"/>
        <v>28.72</v>
      </c>
      <c r="Z40" s="191">
        <f t="shared" si="15"/>
        <v>54.803504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82" t="s">
        <v>55</v>
      </c>
      <c r="C41" s="183">
        <v>85.0</v>
      </c>
      <c r="D41" s="183">
        <v>204.0</v>
      </c>
      <c r="E41" s="183">
        <v>181.0</v>
      </c>
      <c r="F41" s="183">
        <f t="shared" si="5"/>
        <v>0</v>
      </c>
      <c r="G41" s="183">
        <f t="shared" si="6"/>
        <v>70.61715</v>
      </c>
      <c r="H41" s="184">
        <f t="shared" si="7"/>
        <v>70.61715</v>
      </c>
      <c r="I41" s="183">
        <v>1.0</v>
      </c>
      <c r="J41" s="185">
        <f t="shared" si="8"/>
        <v>70.61715</v>
      </c>
      <c r="K41" s="186"/>
      <c r="L41" s="187">
        <f t="shared" si="17"/>
        <v>5.1816</v>
      </c>
      <c r="M41" s="188">
        <f t="shared" si="18"/>
        <v>1</v>
      </c>
      <c r="N41" s="188">
        <f t="shared" si="19"/>
        <v>5.1816</v>
      </c>
      <c r="O41" s="186"/>
      <c r="P41" s="186"/>
      <c r="Q41" s="187">
        <v>86.0</v>
      </c>
      <c r="R41" s="189">
        <v>22.5</v>
      </c>
      <c r="S41" s="177">
        <f t="shared" si="9"/>
        <v>1.81</v>
      </c>
      <c r="T41" s="160">
        <f t="shared" si="10"/>
        <v>1</v>
      </c>
      <c r="U41" s="160">
        <f t="shared" si="11"/>
        <v>1.81</v>
      </c>
      <c r="V41" s="190">
        <f t="shared" si="12"/>
        <v>70.61715</v>
      </c>
      <c r="W41" s="177">
        <f t="shared" ref="W41:X41" si="26">C41/100</f>
        <v>0.85</v>
      </c>
      <c r="X41" s="177">
        <f t="shared" si="26"/>
        <v>2.04</v>
      </c>
      <c r="Y41" s="177">
        <f t="shared" si="14"/>
        <v>1.81</v>
      </c>
      <c r="Z41" s="191">
        <f t="shared" si="15"/>
        <v>3.13854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55</v>
      </c>
      <c r="C42" s="192">
        <v>101.0</v>
      </c>
      <c r="D42" s="192">
        <v>204.0</v>
      </c>
      <c r="E42" s="192">
        <v>125.0</v>
      </c>
      <c r="F42" s="192">
        <f t="shared" si="5"/>
        <v>0</v>
      </c>
      <c r="G42" s="192">
        <f t="shared" si="6"/>
        <v>57.94875</v>
      </c>
      <c r="H42" s="193">
        <f t="shared" si="7"/>
        <v>57.94875</v>
      </c>
      <c r="I42" s="192">
        <v>1.0</v>
      </c>
      <c r="J42" s="194">
        <f t="shared" si="8"/>
        <v>57.94875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91.0</v>
      </c>
      <c r="R42" s="189">
        <v>22.5</v>
      </c>
      <c r="S42" s="177">
        <f t="shared" si="9"/>
        <v>1.25</v>
      </c>
      <c r="T42" s="160">
        <f t="shared" si="10"/>
        <v>1</v>
      </c>
      <c r="U42" s="160">
        <f t="shared" si="11"/>
        <v>1.25</v>
      </c>
      <c r="V42" s="190">
        <f t="shared" si="12"/>
        <v>57.94875</v>
      </c>
      <c r="W42" s="177">
        <f t="shared" ref="W42:X42" si="27">C42/100</f>
        <v>1.01</v>
      </c>
      <c r="X42" s="177">
        <f t="shared" si="27"/>
        <v>2.04</v>
      </c>
      <c r="Y42" s="177">
        <f t="shared" si="14"/>
        <v>1.25</v>
      </c>
      <c r="Z42" s="191">
        <f t="shared" si="15"/>
        <v>2.5755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55</v>
      </c>
      <c r="C43" s="192">
        <v>99.0</v>
      </c>
      <c r="D43" s="192">
        <v>204.0</v>
      </c>
      <c r="E43" s="192">
        <v>2878.0</v>
      </c>
      <c r="F43" s="192">
        <f t="shared" si="5"/>
        <v>0</v>
      </c>
      <c r="G43" s="192">
        <f t="shared" si="6"/>
        <v>1307.79198</v>
      </c>
      <c r="H43" s="193">
        <f t="shared" si="7"/>
        <v>1307.79198</v>
      </c>
      <c r="I43" s="192">
        <v>1.0</v>
      </c>
      <c r="J43" s="194">
        <f t="shared" si="8"/>
        <v>1307.79198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1350.0</v>
      </c>
      <c r="R43" s="189">
        <v>22.5</v>
      </c>
      <c r="S43" s="177">
        <f t="shared" si="9"/>
        <v>28.78</v>
      </c>
      <c r="T43" s="160">
        <f t="shared" si="10"/>
        <v>1</v>
      </c>
      <c r="U43" s="160">
        <f t="shared" si="11"/>
        <v>28.78</v>
      </c>
      <c r="V43" s="190">
        <f t="shared" si="12"/>
        <v>1307.79198</v>
      </c>
      <c r="W43" s="177">
        <f t="shared" ref="W43:X43" si="28">C43/100</f>
        <v>0.99</v>
      </c>
      <c r="X43" s="177">
        <f t="shared" si="28"/>
        <v>2.04</v>
      </c>
      <c r="Y43" s="177">
        <f t="shared" si="14"/>
        <v>28.78</v>
      </c>
      <c r="Z43" s="191">
        <f t="shared" si="15"/>
        <v>58.124088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55</v>
      </c>
      <c r="C44" s="192">
        <v>103.0</v>
      </c>
      <c r="D44" s="192">
        <v>204.0</v>
      </c>
      <c r="E44" s="192">
        <v>2877.0</v>
      </c>
      <c r="F44" s="192">
        <f t="shared" si="5"/>
        <v>0</v>
      </c>
      <c r="G44" s="192">
        <f t="shared" si="6"/>
        <v>1360.15929</v>
      </c>
      <c r="H44" s="193">
        <f t="shared" si="7"/>
        <v>1360.15929</v>
      </c>
      <c r="I44" s="192">
        <v>1.0</v>
      </c>
      <c r="J44" s="194">
        <f t="shared" si="8"/>
        <v>1360.15929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1365.0</v>
      </c>
      <c r="R44" s="189">
        <v>22.5</v>
      </c>
      <c r="S44" s="177">
        <f t="shared" si="9"/>
        <v>28.77</v>
      </c>
      <c r="T44" s="160">
        <f t="shared" si="10"/>
        <v>1</v>
      </c>
      <c r="U44" s="160">
        <f t="shared" si="11"/>
        <v>28.77</v>
      </c>
      <c r="V44" s="190">
        <f t="shared" si="12"/>
        <v>1360.15929</v>
      </c>
      <c r="W44" s="177">
        <f t="shared" ref="W44:X44" si="29">C44/100</f>
        <v>1.03</v>
      </c>
      <c r="X44" s="177">
        <f t="shared" si="29"/>
        <v>2.04</v>
      </c>
      <c r="Y44" s="177">
        <f t="shared" si="14"/>
        <v>28.77</v>
      </c>
      <c r="Z44" s="191">
        <f t="shared" si="15"/>
        <v>60.451524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55</v>
      </c>
      <c r="C45" s="192">
        <v>102.0</v>
      </c>
      <c r="D45" s="192">
        <v>204.0</v>
      </c>
      <c r="E45" s="192">
        <v>2874.0</v>
      </c>
      <c r="F45" s="192">
        <f t="shared" si="5"/>
        <v>0</v>
      </c>
      <c r="G45" s="192">
        <f t="shared" si="6"/>
        <v>1345.54932</v>
      </c>
      <c r="H45" s="193">
        <f t="shared" si="7"/>
        <v>1345.54932</v>
      </c>
      <c r="I45" s="192">
        <v>1.0</v>
      </c>
      <c r="J45" s="194">
        <f t="shared" si="8"/>
        <v>1345.54932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1350.0</v>
      </c>
      <c r="R45" s="189">
        <v>22.5</v>
      </c>
      <c r="S45" s="177">
        <f t="shared" si="9"/>
        <v>28.74</v>
      </c>
      <c r="T45" s="160">
        <f t="shared" si="10"/>
        <v>1</v>
      </c>
      <c r="U45" s="160">
        <f t="shared" si="11"/>
        <v>28.74</v>
      </c>
      <c r="V45" s="190">
        <f t="shared" si="12"/>
        <v>1345.54932</v>
      </c>
      <c r="W45" s="177">
        <f t="shared" ref="W45:X45" si="30">C45/100</f>
        <v>1.02</v>
      </c>
      <c r="X45" s="177">
        <f t="shared" si="30"/>
        <v>2.04</v>
      </c>
      <c r="Y45" s="177">
        <f t="shared" si="14"/>
        <v>28.74</v>
      </c>
      <c r="Z45" s="191">
        <f t="shared" si="15"/>
        <v>59.802192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55</v>
      </c>
      <c r="C46" s="192">
        <v>102.0</v>
      </c>
      <c r="D46" s="192">
        <v>204.0</v>
      </c>
      <c r="E46" s="192">
        <v>2877.0</v>
      </c>
      <c r="F46" s="192">
        <f t="shared" si="5"/>
        <v>0</v>
      </c>
      <c r="G46" s="192">
        <f t="shared" si="6"/>
        <v>1346.95386</v>
      </c>
      <c r="H46" s="193">
        <f t="shared" si="7"/>
        <v>1346.95386</v>
      </c>
      <c r="I46" s="192">
        <v>1.0</v>
      </c>
      <c r="J46" s="194">
        <f t="shared" si="8"/>
        <v>1346.95386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1355.0</v>
      </c>
      <c r="R46" s="189">
        <v>22.5</v>
      </c>
      <c r="S46" s="177">
        <f t="shared" si="9"/>
        <v>28.77</v>
      </c>
      <c r="T46" s="160">
        <f t="shared" si="10"/>
        <v>1</v>
      </c>
      <c r="U46" s="160">
        <f t="shared" si="11"/>
        <v>28.77</v>
      </c>
      <c r="V46" s="190">
        <f t="shared" si="12"/>
        <v>1346.95386</v>
      </c>
      <c r="W46" s="177">
        <f t="shared" ref="W46:X46" si="31">C46/100</f>
        <v>1.02</v>
      </c>
      <c r="X46" s="177">
        <f t="shared" si="31"/>
        <v>2.04</v>
      </c>
      <c r="Y46" s="177">
        <f t="shared" si="14"/>
        <v>28.77</v>
      </c>
      <c r="Z46" s="191">
        <f t="shared" si="15"/>
        <v>59.864616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55</v>
      </c>
      <c r="C47" s="192">
        <v>102.0</v>
      </c>
      <c r="D47" s="192">
        <v>204.0</v>
      </c>
      <c r="E47" s="192">
        <v>2872.0</v>
      </c>
      <c r="F47" s="192">
        <f t="shared" si="5"/>
        <v>0</v>
      </c>
      <c r="G47" s="192">
        <f t="shared" si="6"/>
        <v>1344.61296</v>
      </c>
      <c r="H47" s="193">
        <f t="shared" si="7"/>
        <v>1344.61296</v>
      </c>
      <c r="I47" s="192">
        <v>1.0</v>
      </c>
      <c r="J47" s="194">
        <f t="shared" si="8"/>
        <v>1344.61296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1350.0</v>
      </c>
      <c r="R47" s="189">
        <v>22.5</v>
      </c>
      <c r="S47" s="177">
        <f t="shared" si="9"/>
        <v>28.72</v>
      </c>
      <c r="T47" s="160">
        <f t="shared" si="10"/>
        <v>1</v>
      </c>
      <c r="U47" s="160">
        <f t="shared" si="11"/>
        <v>28.72</v>
      </c>
      <c r="V47" s="190">
        <f t="shared" si="12"/>
        <v>1344.61296</v>
      </c>
      <c r="W47" s="177">
        <f t="shared" ref="W47:X47" si="32">C47/100</f>
        <v>1.02</v>
      </c>
      <c r="X47" s="177">
        <f t="shared" si="32"/>
        <v>2.04</v>
      </c>
      <c r="Y47" s="177">
        <f t="shared" si="14"/>
        <v>28.72</v>
      </c>
      <c r="Z47" s="191">
        <f t="shared" si="15"/>
        <v>59.760576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55</v>
      </c>
      <c r="C48" s="192">
        <v>101.0</v>
      </c>
      <c r="D48" s="192">
        <v>204.0</v>
      </c>
      <c r="E48" s="192">
        <v>2872.0</v>
      </c>
      <c r="F48" s="192">
        <f t="shared" si="5"/>
        <v>0</v>
      </c>
      <c r="G48" s="192">
        <f t="shared" si="6"/>
        <v>1331.43048</v>
      </c>
      <c r="H48" s="193">
        <f t="shared" si="7"/>
        <v>1331.43048</v>
      </c>
      <c r="I48" s="192">
        <v>1.0</v>
      </c>
      <c r="J48" s="194">
        <f t="shared" si="8"/>
        <v>1331.43048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1355.0</v>
      </c>
      <c r="R48" s="189">
        <v>22.5</v>
      </c>
      <c r="S48" s="177">
        <f t="shared" si="9"/>
        <v>28.72</v>
      </c>
      <c r="T48" s="160">
        <f t="shared" si="10"/>
        <v>1</v>
      </c>
      <c r="U48" s="160">
        <f t="shared" si="11"/>
        <v>28.72</v>
      </c>
      <c r="V48" s="190">
        <f t="shared" si="12"/>
        <v>1331.43048</v>
      </c>
      <c r="W48" s="177">
        <f t="shared" ref="W48:X48" si="33">C48/100</f>
        <v>1.01</v>
      </c>
      <c r="X48" s="177">
        <f t="shared" si="33"/>
        <v>2.04</v>
      </c>
      <c r="Y48" s="177">
        <f t="shared" si="14"/>
        <v>28.72</v>
      </c>
      <c r="Z48" s="191">
        <f t="shared" si="15"/>
        <v>59.174688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55</v>
      </c>
      <c r="C49" s="192">
        <v>102.0</v>
      </c>
      <c r="D49" s="192">
        <v>204.0</v>
      </c>
      <c r="E49" s="192">
        <v>2874.0</v>
      </c>
      <c r="F49" s="192">
        <f t="shared" si="5"/>
        <v>0</v>
      </c>
      <c r="G49" s="192">
        <f t="shared" si="6"/>
        <v>1345.54932</v>
      </c>
      <c r="H49" s="193">
        <f t="shared" si="7"/>
        <v>1345.54932</v>
      </c>
      <c r="I49" s="192">
        <v>1.0</v>
      </c>
      <c r="J49" s="194">
        <f t="shared" si="8"/>
        <v>1345.54932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1340.0</v>
      </c>
      <c r="R49" s="189">
        <v>22.5</v>
      </c>
      <c r="S49" s="177">
        <f t="shared" si="9"/>
        <v>28.74</v>
      </c>
      <c r="T49" s="160">
        <f t="shared" si="10"/>
        <v>1</v>
      </c>
      <c r="U49" s="160">
        <f t="shared" si="11"/>
        <v>28.74</v>
      </c>
      <c r="V49" s="190">
        <f t="shared" si="12"/>
        <v>1345.54932</v>
      </c>
      <c r="W49" s="177">
        <f t="shared" ref="W49:X49" si="34">C49/100</f>
        <v>1.02</v>
      </c>
      <c r="X49" s="177">
        <f t="shared" si="34"/>
        <v>2.04</v>
      </c>
      <c r="Y49" s="177">
        <f t="shared" si="14"/>
        <v>28.74</v>
      </c>
      <c r="Z49" s="191">
        <f t="shared" si="15"/>
        <v>59.802192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55</v>
      </c>
      <c r="C50" s="192">
        <v>100.0</v>
      </c>
      <c r="D50" s="192">
        <v>204.0</v>
      </c>
      <c r="E50" s="192">
        <v>2874.0</v>
      </c>
      <c r="F50" s="192">
        <f t="shared" si="5"/>
        <v>0</v>
      </c>
      <c r="G50" s="192">
        <f t="shared" si="6"/>
        <v>1319.166</v>
      </c>
      <c r="H50" s="193">
        <f t="shared" si="7"/>
        <v>1319.166</v>
      </c>
      <c r="I50" s="192">
        <v>1.0</v>
      </c>
      <c r="J50" s="194">
        <f t="shared" si="8"/>
        <v>1319.166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1355.0</v>
      </c>
      <c r="R50" s="189">
        <v>22.5</v>
      </c>
      <c r="S50" s="177">
        <f t="shared" si="9"/>
        <v>28.74</v>
      </c>
      <c r="T50" s="160">
        <f t="shared" si="10"/>
        <v>1</v>
      </c>
      <c r="U50" s="160">
        <f t="shared" si="11"/>
        <v>28.74</v>
      </c>
      <c r="V50" s="190">
        <f t="shared" si="12"/>
        <v>1319.166</v>
      </c>
      <c r="W50" s="177">
        <f t="shared" ref="W50:X50" si="35">C50/100</f>
        <v>1</v>
      </c>
      <c r="X50" s="177">
        <f t="shared" si="35"/>
        <v>2.04</v>
      </c>
      <c r="Y50" s="177">
        <f t="shared" si="14"/>
        <v>28.74</v>
      </c>
      <c r="Z50" s="191">
        <f t="shared" si="15"/>
        <v>58.6296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55</v>
      </c>
      <c r="C51" s="192">
        <v>101.0</v>
      </c>
      <c r="D51" s="192">
        <v>204.0</v>
      </c>
      <c r="E51" s="192">
        <v>2872.0</v>
      </c>
      <c r="F51" s="192">
        <f t="shared" si="5"/>
        <v>0</v>
      </c>
      <c r="G51" s="192">
        <f t="shared" si="6"/>
        <v>1331.43048</v>
      </c>
      <c r="H51" s="193">
        <f t="shared" si="7"/>
        <v>1331.43048</v>
      </c>
      <c r="I51" s="192">
        <v>1.0</v>
      </c>
      <c r="J51" s="194">
        <f t="shared" si="8"/>
        <v>1331.43048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1350.0</v>
      </c>
      <c r="R51" s="189">
        <v>22.5</v>
      </c>
      <c r="S51" s="177">
        <f t="shared" si="9"/>
        <v>28.72</v>
      </c>
      <c r="T51" s="160">
        <f t="shared" si="10"/>
        <v>1</v>
      </c>
      <c r="U51" s="160">
        <f t="shared" si="11"/>
        <v>28.72</v>
      </c>
      <c r="V51" s="190">
        <f t="shared" si="12"/>
        <v>1331.43048</v>
      </c>
      <c r="W51" s="177">
        <f t="shared" ref="W51:X51" si="36">C51/100</f>
        <v>1.01</v>
      </c>
      <c r="X51" s="177">
        <f t="shared" si="36"/>
        <v>2.04</v>
      </c>
      <c r="Y51" s="177">
        <f t="shared" si="14"/>
        <v>28.72</v>
      </c>
      <c r="Z51" s="191">
        <f t="shared" si="15"/>
        <v>59.174688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55</v>
      </c>
      <c r="C52" s="192">
        <v>101.0</v>
      </c>
      <c r="D52" s="192">
        <v>204.0</v>
      </c>
      <c r="E52" s="192">
        <v>2876.0</v>
      </c>
      <c r="F52" s="192">
        <f t="shared" si="5"/>
        <v>0</v>
      </c>
      <c r="G52" s="192">
        <f t="shared" si="6"/>
        <v>1333.28484</v>
      </c>
      <c r="H52" s="193">
        <f t="shared" si="7"/>
        <v>1333.28484</v>
      </c>
      <c r="I52" s="192">
        <v>1.0</v>
      </c>
      <c r="J52" s="194">
        <f t="shared" si="8"/>
        <v>1333.28484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1340.0</v>
      </c>
      <c r="R52" s="189">
        <v>22.5</v>
      </c>
      <c r="S52" s="177">
        <f t="shared" si="9"/>
        <v>28.76</v>
      </c>
      <c r="T52" s="160">
        <f t="shared" si="10"/>
        <v>1</v>
      </c>
      <c r="U52" s="160">
        <f t="shared" si="11"/>
        <v>28.76</v>
      </c>
      <c r="V52" s="190">
        <f t="shared" si="12"/>
        <v>1333.28484</v>
      </c>
      <c r="W52" s="177">
        <f t="shared" ref="W52:X52" si="37">C52/100</f>
        <v>1.01</v>
      </c>
      <c r="X52" s="177">
        <f t="shared" si="37"/>
        <v>2.04</v>
      </c>
      <c r="Y52" s="177">
        <f t="shared" si="14"/>
        <v>28.76</v>
      </c>
      <c r="Z52" s="191">
        <f t="shared" si="15"/>
        <v>59.257104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55</v>
      </c>
      <c r="C53" s="192">
        <v>101.0</v>
      </c>
      <c r="D53" s="192">
        <v>204.0</v>
      </c>
      <c r="E53" s="192">
        <v>2874.0</v>
      </c>
      <c r="F53" s="192">
        <f t="shared" si="5"/>
        <v>0</v>
      </c>
      <c r="G53" s="192">
        <f t="shared" si="6"/>
        <v>1332.35766</v>
      </c>
      <c r="H53" s="193">
        <f t="shared" si="7"/>
        <v>1332.35766</v>
      </c>
      <c r="I53" s="192">
        <v>1.0</v>
      </c>
      <c r="J53" s="194">
        <f t="shared" si="8"/>
        <v>1332.35766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1350.0</v>
      </c>
      <c r="R53" s="189">
        <v>22.5</v>
      </c>
      <c r="S53" s="177">
        <f t="shared" si="9"/>
        <v>28.74</v>
      </c>
      <c r="T53" s="160">
        <f t="shared" si="10"/>
        <v>1</v>
      </c>
      <c r="U53" s="160">
        <f t="shared" si="11"/>
        <v>28.74</v>
      </c>
      <c r="V53" s="190">
        <f t="shared" si="12"/>
        <v>1332.35766</v>
      </c>
      <c r="W53" s="177">
        <f t="shared" ref="W53:X53" si="38">C53/100</f>
        <v>1.01</v>
      </c>
      <c r="X53" s="177">
        <f t="shared" si="38"/>
        <v>2.04</v>
      </c>
      <c r="Y53" s="177">
        <f t="shared" si="14"/>
        <v>28.74</v>
      </c>
      <c r="Z53" s="191">
        <f t="shared" si="15"/>
        <v>59.215896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55</v>
      </c>
      <c r="C54" s="192">
        <v>102.0</v>
      </c>
      <c r="D54" s="192">
        <v>204.0</v>
      </c>
      <c r="E54" s="192">
        <v>2874.0</v>
      </c>
      <c r="F54" s="192">
        <f t="shared" si="5"/>
        <v>0</v>
      </c>
      <c r="G54" s="192">
        <f t="shared" si="6"/>
        <v>1345.54932</v>
      </c>
      <c r="H54" s="193">
        <f t="shared" si="7"/>
        <v>1345.54932</v>
      </c>
      <c r="I54" s="192">
        <v>1.0</v>
      </c>
      <c r="J54" s="194">
        <f t="shared" si="8"/>
        <v>1345.54932</v>
      </c>
      <c r="K54" s="139"/>
      <c r="L54" s="177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7">
        <v>1345.0</v>
      </c>
      <c r="R54" s="189">
        <v>22.5</v>
      </c>
      <c r="S54" s="177">
        <f t="shared" si="9"/>
        <v>28.74</v>
      </c>
      <c r="T54" s="160">
        <f t="shared" si="10"/>
        <v>1</v>
      </c>
      <c r="U54" s="160">
        <f t="shared" si="11"/>
        <v>28.74</v>
      </c>
      <c r="V54" s="190">
        <f t="shared" si="12"/>
        <v>1345.54932</v>
      </c>
      <c r="W54" s="177">
        <f t="shared" ref="W54:X54" si="39">C54/100</f>
        <v>1.02</v>
      </c>
      <c r="X54" s="177">
        <f t="shared" si="39"/>
        <v>2.04</v>
      </c>
      <c r="Y54" s="177">
        <f t="shared" si="14"/>
        <v>28.74</v>
      </c>
      <c r="Z54" s="191">
        <f t="shared" si="15"/>
        <v>59.802192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55</v>
      </c>
      <c r="C55" s="192">
        <v>103.0</v>
      </c>
      <c r="D55" s="192">
        <v>204.0</v>
      </c>
      <c r="E55" s="192">
        <v>2880.0</v>
      </c>
      <c r="F55" s="192">
        <f t="shared" si="5"/>
        <v>0</v>
      </c>
      <c r="G55" s="192">
        <f t="shared" si="6"/>
        <v>1361.5776</v>
      </c>
      <c r="H55" s="193">
        <f t="shared" si="7"/>
        <v>1361.5776</v>
      </c>
      <c r="I55" s="192">
        <v>1.0</v>
      </c>
      <c r="J55" s="194">
        <f t="shared" si="8"/>
        <v>1361.5776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1345.0</v>
      </c>
      <c r="R55" s="189">
        <v>22.5</v>
      </c>
      <c r="S55" s="177">
        <f t="shared" si="9"/>
        <v>28.8</v>
      </c>
      <c r="T55" s="160">
        <f t="shared" si="10"/>
        <v>1</v>
      </c>
      <c r="U55" s="160">
        <f t="shared" si="11"/>
        <v>28.8</v>
      </c>
      <c r="V55" s="190">
        <f t="shared" si="12"/>
        <v>1361.5776</v>
      </c>
      <c r="W55" s="177">
        <f t="shared" ref="W55:X55" si="40">C55/100</f>
        <v>1.03</v>
      </c>
      <c r="X55" s="177">
        <f t="shared" si="40"/>
        <v>2.04</v>
      </c>
      <c r="Y55" s="177">
        <f t="shared" si="14"/>
        <v>28.8</v>
      </c>
      <c r="Z55" s="191">
        <f t="shared" si="15"/>
        <v>60.51456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55</v>
      </c>
      <c r="C56" s="192">
        <v>103.0</v>
      </c>
      <c r="D56" s="192">
        <v>204.0</v>
      </c>
      <c r="E56" s="192">
        <v>2879.0</v>
      </c>
      <c r="F56" s="192">
        <f t="shared" si="5"/>
        <v>0</v>
      </c>
      <c r="G56" s="192">
        <f t="shared" si="6"/>
        <v>1361.10483</v>
      </c>
      <c r="H56" s="193">
        <f t="shared" si="7"/>
        <v>1361.10483</v>
      </c>
      <c r="I56" s="192">
        <v>1.0</v>
      </c>
      <c r="J56" s="194">
        <f t="shared" si="8"/>
        <v>1361.10483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1345.0</v>
      </c>
      <c r="R56" s="189">
        <v>22.5</v>
      </c>
      <c r="S56" s="177">
        <f t="shared" si="9"/>
        <v>28.79</v>
      </c>
      <c r="T56" s="160">
        <f t="shared" si="10"/>
        <v>1</v>
      </c>
      <c r="U56" s="160">
        <f t="shared" si="11"/>
        <v>28.79</v>
      </c>
      <c r="V56" s="190">
        <f t="shared" si="12"/>
        <v>1361.10483</v>
      </c>
      <c r="W56" s="177">
        <f t="shared" ref="W56:X56" si="41">C56/100</f>
        <v>1.03</v>
      </c>
      <c r="X56" s="177">
        <f t="shared" si="41"/>
        <v>2.04</v>
      </c>
      <c r="Y56" s="177">
        <f t="shared" si="14"/>
        <v>28.79</v>
      </c>
      <c r="Z56" s="191">
        <f t="shared" si="15"/>
        <v>60.493548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55</v>
      </c>
      <c r="C57" s="192">
        <v>85.0</v>
      </c>
      <c r="D57" s="192">
        <v>204.0</v>
      </c>
      <c r="E57" s="192">
        <v>2883.0</v>
      </c>
      <c r="F57" s="192">
        <f t="shared" si="5"/>
        <v>0</v>
      </c>
      <c r="G57" s="192">
        <f t="shared" si="6"/>
        <v>1124.80245</v>
      </c>
      <c r="H57" s="193">
        <f t="shared" si="7"/>
        <v>1124.80245</v>
      </c>
      <c r="I57" s="192">
        <v>1.0</v>
      </c>
      <c r="J57" s="194">
        <f t="shared" si="8"/>
        <v>1124.80245</v>
      </c>
      <c r="K57" s="139"/>
      <c r="L57" s="195"/>
      <c r="M57" s="196">
        <f t="shared" si="18"/>
        <v>1</v>
      </c>
      <c r="N57" s="196"/>
      <c r="O57" s="139"/>
      <c r="P57" s="139"/>
      <c r="Q57" s="177">
        <v>1330.0</v>
      </c>
      <c r="R57" s="189">
        <v>22.5</v>
      </c>
      <c r="S57" s="177">
        <f t="shared" si="9"/>
        <v>28.83</v>
      </c>
      <c r="T57" s="160">
        <f t="shared" si="10"/>
        <v>1</v>
      </c>
      <c r="U57" s="160">
        <f t="shared" si="11"/>
        <v>28.83</v>
      </c>
      <c r="V57" s="190">
        <f t="shared" si="12"/>
        <v>1124.80245</v>
      </c>
      <c r="W57" s="177">
        <f t="shared" ref="W57:X57" si="42">C57/100</f>
        <v>0.85</v>
      </c>
      <c r="X57" s="177">
        <f t="shared" si="42"/>
        <v>2.04</v>
      </c>
      <c r="Y57" s="177">
        <f t="shared" si="14"/>
        <v>28.83</v>
      </c>
      <c r="Z57" s="191">
        <f t="shared" si="15"/>
        <v>49.99122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82" t="s">
        <v>90</v>
      </c>
      <c r="C58" s="183">
        <v>68.0</v>
      </c>
      <c r="D58" s="183">
        <v>204.0</v>
      </c>
      <c r="E58" s="183">
        <v>180.0</v>
      </c>
      <c r="F58" s="183">
        <f t="shared" si="5"/>
        <v>0</v>
      </c>
      <c r="G58" s="183">
        <f t="shared" si="6"/>
        <v>67.41792</v>
      </c>
      <c r="H58" s="184">
        <f t="shared" si="7"/>
        <v>67.41792</v>
      </c>
      <c r="I58" s="183">
        <v>1.0</v>
      </c>
      <c r="J58" s="185">
        <f t="shared" si="8"/>
        <v>67.41792</v>
      </c>
      <c r="K58" s="186"/>
      <c r="L58" s="265"/>
      <c r="M58" s="266">
        <f t="shared" si="18"/>
        <v>1</v>
      </c>
      <c r="N58" s="266"/>
      <c r="O58" s="186"/>
      <c r="P58" s="186"/>
      <c r="Q58" s="187">
        <v>77.0</v>
      </c>
      <c r="R58" s="189">
        <v>27.0</v>
      </c>
      <c r="S58" s="177">
        <f t="shared" si="9"/>
        <v>1.8</v>
      </c>
      <c r="T58" s="160">
        <f t="shared" si="10"/>
        <v>1</v>
      </c>
      <c r="U58" s="160">
        <f t="shared" si="11"/>
        <v>1.8</v>
      </c>
      <c r="V58" s="190">
        <f t="shared" si="12"/>
        <v>67.41792</v>
      </c>
      <c r="W58" s="177">
        <f t="shared" ref="W58:X58" si="43">C58/100</f>
        <v>0.68</v>
      </c>
      <c r="X58" s="177">
        <f t="shared" si="43"/>
        <v>2.04</v>
      </c>
      <c r="Y58" s="177">
        <f t="shared" si="14"/>
        <v>1.8</v>
      </c>
      <c r="Z58" s="191">
        <f t="shared" si="15"/>
        <v>2.49696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90</v>
      </c>
      <c r="C59" s="192">
        <v>91.0</v>
      </c>
      <c r="D59" s="192">
        <v>204.0</v>
      </c>
      <c r="E59" s="192">
        <v>97.0</v>
      </c>
      <c r="F59" s="192">
        <f t="shared" si="5"/>
        <v>0</v>
      </c>
      <c r="G59" s="192">
        <f t="shared" si="6"/>
        <v>48.619116</v>
      </c>
      <c r="H59" s="193">
        <f t="shared" si="7"/>
        <v>48.619116</v>
      </c>
      <c r="I59" s="192">
        <v>1.0</v>
      </c>
      <c r="J59" s="194">
        <f t="shared" si="8"/>
        <v>48.619116</v>
      </c>
      <c r="K59" s="139"/>
      <c r="L59" s="195"/>
      <c r="M59" s="196">
        <f t="shared" si="18"/>
        <v>1</v>
      </c>
      <c r="N59" s="196"/>
      <c r="O59" s="139"/>
      <c r="P59" s="139"/>
      <c r="Q59" s="177">
        <v>80.0</v>
      </c>
      <c r="R59" s="189">
        <v>27.0</v>
      </c>
      <c r="S59" s="177">
        <f t="shared" si="9"/>
        <v>0.97</v>
      </c>
      <c r="T59" s="160">
        <f t="shared" si="10"/>
        <v>1</v>
      </c>
      <c r="U59" s="160">
        <f t="shared" si="11"/>
        <v>0.97</v>
      </c>
      <c r="V59" s="190">
        <f t="shared" si="12"/>
        <v>48.619116</v>
      </c>
      <c r="W59" s="177">
        <f t="shared" ref="W59:X59" si="44">C59/100</f>
        <v>0.91</v>
      </c>
      <c r="X59" s="177">
        <f t="shared" si="44"/>
        <v>2.04</v>
      </c>
      <c r="Y59" s="177">
        <f t="shared" si="14"/>
        <v>0.97</v>
      </c>
      <c r="Z59" s="191">
        <f t="shared" si="15"/>
        <v>1.800708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90</v>
      </c>
      <c r="C60" s="192">
        <v>82.0</v>
      </c>
      <c r="D60" s="192">
        <v>204.0</v>
      </c>
      <c r="E60" s="192">
        <v>2052.0</v>
      </c>
      <c r="F60" s="192">
        <f t="shared" si="5"/>
        <v>0</v>
      </c>
      <c r="G60" s="192">
        <f t="shared" si="6"/>
        <v>926.798112</v>
      </c>
      <c r="H60" s="193">
        <f t="shared" si="7"/>
        <v>926.798112</v>
      </c>
      <c r="I60" s="192">
        <v>1.0</v>
      </c>
      <c r="J60" s="194">
        <f t="shared" si="8"/>
        <v>926.798112</v>
      </c>
      <c r="K60" s="139"/>
      <c r="L60" s="195"/>
      <c r="M60" s="196">
        <f t="shared" si="18"/>
        <v>1</v>
      </c>
      <c r="N60" s="196"/>
      <c r="O60" s="139"/>
      <c r="P60" s="139"/>
      <c r="Q60" s="177">
        <v>1000.0</v>
      </c>
      <c r="R60" s="189">
        <v>27.0</v>
      </c>
      <c r="S60" s="177">
        <f t="shared" si="9"/>
        <v>20.52</v>
      </c>
      <c r="T60" s="160">
        <f t="shared" si="10"/>
        <v>1</v>
      </c>
      <c r="U60" s="160">
        <f t="shared" si="11"/>
        <v>20.52</v>
      </c>
      <c r="V60" s="190">
        <f t="shared" si="12"/>
        <v>926.798112</v>
      </c>
      <c r="W60" s="177">
        <f t="shared" ref="W60:X60" si="45">C60/100</f>
        <v>0.82</v>
      </c>
      <c r="X60" s="177">
        <f t="shared" si="45"/>
        <v>2.04</v>
      </c>
      <c r="Y60" s="177">
        <f t="shared" si="14"/>
        <v>20.52</v>
      </c>
      <c r="Z60" s="191">
        <f t="shared" si="15"/>
        <v>34.325856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90</v>
      </c>
      <c r="C61" s="192">
        <v>89.0</v>
      </c>
      <c r="D61" s="192">
        <v>204.0</v>
      </c>
      <c r="E61" s="192">
        <v>2859.0</v>
      </c>
      <c r="F61" s="192">
        <f t="shared" si="5"/>
        <v>0</v>
      </c>
      <c r="G61" s="192">
        <f t="shared" si="6"/>
        <v>1401.516108</v>
      </c>
      <c r="H61" s="193">
        <f t="shared" si="7"/>
        <v>1401.516108</v>
      </c>
      <c r="I61" s="192">
        <v>1.0</v>
      </c>
      <c r="J61" s="194">
        <f t="shared" si="8"/>
        <v>1401.516108</v>
      </c>
      <c r="K61" s="139"/>
      <c r="L61" s="195"/>
      <c r="M61" s="196">
        <f t="shared" si="18"/>
        <v>1</v>
      </c>
      <c r="N61" s="196"/>
      <c r="O61" s="139"/>
      <c r="P61" s="139"/>
      <c r="Q61" s="177">
        <v>1405.0</v>
      </c>
      <c r="R61" s="189">
        <v>27.0</v>
      </c>
      <c r="S61" s="177">
        <f t="shared" si="9"/>
        <v>28.59</v>
      </c>
      <c r="T61" s="160">
        <f t="shared" si="10"/>
        <v>1</v>
      </c>
      <c r="U61" s="160">
        <f t="shared" si="11"/>
        <v>28.59</v>
      </c>
      <c r="V61" s="190">
        <f t="shared" si="12"/>
        <v>1401.516108</v>
      </c>
      <c r="W61" s="177">
        <f t="shared" ref="W61:X61" si="46">C61/100</f>
        <v>0.89</v>
      </c>
      <c r="X61" s="177">
        <f t="shared" si="46"/>
        <v>2.04</v>
      </c>
      <c r="Y61" s="177">
        <f t="shared" si="14"/>
        <v>28.59</v>
      </c>
      <c r="Z61" s="191">
        <f t="shared" si="15"/>
        <v>51.908004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82" t="s">
        <v>91</v>
      </c>
      <c r="C62" s="192">
        <v>98.0</v>
      </c>
      <c r="D62" s="192">
        <v>204.0</v>
      </c>
      <c r="E62" s="192">
        <v>205.0</v>
      </c>
      <c r="F62" s="192">
        <f t="shared" si="5"/>
        <v>0</v>
      </c>
      <c r="G62" s="192">
        <f t="shared" si="6"/>
        <v>94.26228</v>
      </c>
      <c r="H62" s="193">
        <f t="shared" si="7"/>
        <v>94.26228</v>
      </c>
      <c r="I62" s="192">
        <v>1.0</v>
      </c>
      <c r="J62" s="194">
        <f t="shared" si="8"/>
        <v>94.26228</v>
      </c>
      <c r="K62" s="139"/>
      <c r="L62" s="195"/>
      <c r="M62" s="196">
        <f t="shared" si="18"/>
        <v>1</v>
      </c>
      <c r="N62" s="196"/>
      <c r="O62" s="139"/>
      <c r="P62" s="139"/>
      <c r="Q62" s="177">
        <v>107.0</v>
      </c>
      <c r="R62" s="189">
        <v>23.0</v>
      </c>
      <c r="S62" s="177">
        <f t="shared" si="9"/>
        <v>2.05</v>
      </c>
      <c r="T62" s="160">
        <f t="shared" si="10"/>
        <v>1</v>
      </c>
      <c r="U62" s="160">
        <f t="shared" si="11"/>
        <v>2.05</v>
      </c>
      <c r="V62" s="190">
        <f t="shared" si="12"/>
        <v>94.26228</v>
      </c>
      <c r="W62" s="177">
        <f t="shared" ref="W62:X62" si="47">C62/100</f>
        <v>0.98</v>
      </c>
      <c r="X62" s="177">
        <f t="shared" si="47"/>
        <v>2.04</v>
      </c>
      <c r="Y62" s="177">
        <f t="shared" si="14"/>
        <v>2.05</v>
      </c>
      <c r="Z62" s="191">
        <f t="shared" si="15"/>
        <v>4.09836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91</v>
      </c>
      <c r="C63" s="192">
        <v>95.0</v>
      </c>
      <c r="D63" s="192">
        <v>204.0</v>
      </c>
      <c r="E63" s="192">
        <v>203.0</v>
      </c>
      <c r="F63" s="192">
        <f t="shared" si="5"/>
        <v>0</v>
      </c>
      <c r="G63" s="192">
        <f t="shared" si="6"/>
        <v>90.48522</v>
      </c>
      <c r="H63" s="193">
        <f t="shared" si="7"/>
        <v>90.48522</v>
      </c>
      <c r="I63" s="192">
        <v>1.0</v>
      </c>
      <c r="J63" s="194">
        <f t="shared" si="8"/>
        <v>90.48522</v>
      </c>
      <c r="K63" s="139"/>
      <c r="L63" s="195"/>
      <c r="M63" s="196">
        <f t="shared" si="18"/>
        <v>1</v>
      </c>
      <c r="N63" s="196"/>
      <c r="O63" s="139"/>
      <c r="P63" s="139"/>
      <c r="Q63" s="177">
        <v>106.0</v>
      </c>
      <c r="R63" s="189">
        <v>23.0</v>
      </c>
      <c r="S63" s="177">
        <f t="shared" si="9"/>
        <v>2.03</v>
      </c>
      <c r="T63" s="160">
        <f t="shared" si="10"/>
        <v>1</v>
      </c>
      <c r="U63" s="160">
        <f t="shared" si="11"/>
        <v>2.03</v>
      </c>
      <c r="V63" s="190">
        <f t="shared" si="12"/>
        <v>90.48522</v>
      </c>
      <c r="W63" s="177">
        <f t="shared" ref="W63:X63" si="48">C63/100</f>
        <v>0.95</v>
      </c>
      <c r="X63" s="177">
        <f t="shared" si="48"/>
        <v>2.04</v>
      </c>
      <c r="Y63" s="177">
        <f t="shared" si="14"/>
        <v>2.03</v>
      </c>
      <c r="Z63" s="191">
        <f t="shared" si="15"/>
        <v>3.93414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91</v>
      </c>
      <c r="C64" s="192">
        <v>95.0</v>
      </c>
      <c r="D64" s="192">
        <v>204.0</v>
      </c>
      <c r="E64" s="192">
        <v>203.0</v>
      </c>
      <c r="F64" s="192">
        <f t="shared" si="5"/>
        <v>0</v>
      </c>
      <c r="G64" s="192">
        <f t="shared" si="6"/>
        <v>90.48522</v>
      </c>
      <c r="H64" s="193">
        <f t="shared" si="7"/>
        <v>90.48522</v>
      </c>
      <c r="I64" s="192">
        <v>1.0</v>
      </c>
      <c r="J64" s="194">
        <f t="shared" si="8"/>
        <v>90.48522</v>
      </c>
      <c r="K64" s="139"/>
      <c r="L64" s="195"/>
      <c r="M64" s="196">
        <f t="shared" si="18"/>
        <v>1</v>
      </c>
      <c r="N64" s="196"/>
      <c r="O64" s="139"/>
      <c r="P64" s="139"/>
      <c r="Q64" s="177">
        <v>107.0</v>
      </c>
      <c r="R64" s="189">
        <v>23.0</v>
      </c>
      <c r="S64" s="177">
        <f t="shared" si="9"/>
        <v>2.03</v>
      </c>
      <c r="T64" s="160">
        <f t="shared" si="10"/>
        <v>1</v>
      </c>
      <c r="U64" s="160">
        <f t="shared" si="11"/>
        <v>2.03</v>
      </c>
      <c r="V64" s="190">
        <f t="shared" si="12"/>
        <v>90.48522</v>
      </c>
      <c r="W64" s="177">
        <f t="shared" ref="W64:X64" si="49">C64/100</f>
        <v>0.95</v>
      </c>
      <c r="X64" s="177">
        <f t="shared" si="49"/>
        <v>2.04</v>
      </c>
      <c r="Y64" s="177">
        <f t="shared" si="14"/>
        <v>2.03</v>
      </c>
      <c r="Z64" s="191">
        <f t="shared" si="15"/>
        <v>3.93414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91</v>
      </c>
      <c r="C65" s="192">
        <v>72.0</v>
      </c>
      <c r="D65" s="192">
        <v>204.0</v>
      </c>
      <c r="E65" s="192">
        <v>172.0</v>
      </c>
      <c r="F65" s="192">
        <f t="shared" si="5"/>
        <v>0</v>
      </c>
      <c r="G65" s="192">
        <f t="shared" si="6"/>
        <v>58.105728</v>
      </c>
      <c r="H65" s="193">
        <f t="shared" si="7"/>
        <v>58.105728</v>
      </c>
      <c r="I65" s="192">
        <v>1.0</v>
      </c>
      <c r="J65" s="194">
        <f t="shared" si="8"/>
        <v>58.105728</v>
      </c>
      <c r="K65" s="139"/>
      <c r="L65" s="195"/>
      <c r="M65" s="196">
        <f t="shared" si="18"/>
        <v>1</v>
      </c>
      <c r="N65" s="196"/>
      <c r="O65" s="139"/>
      <c r="P65" s="139"/>
      <c r="Q65" s="177">
        <v>76.0</v>
      </c>
      <c r="R65" s="189">
        <v>23.0</v>
      </c>
      <c r="S65" s="177">
        <f t="shared" si="9"/>
        <v>1.72</v>
      </c>
      <c r="T65" s="160">
        <f t="shared" si="10"/>
        <v>1</v>
      </c>
      <c r="U65" s="160">
        <f t="shared" si="11"/>
        <v>1.72</v>
      </c>
      <c r="V65" s="190">
        <f t="shared" si="12"/>
        <v>58.105728</v>
      </c>
      <c r="W65" s="177">
        <f t="shared" ref="W65:X65" si="50">C65/100</f>
        <v>0.72</v>
      </c>
      <c r="X65" s="177">
        <f t="shared" si="50"/>
        <v>2.04</v>
      </c>
      <c r="Y65" s="177">
        <f t="shared" si="14"/>
        <v>1.72</v>
      </c>
      <c r="Z65" s="191">
        <f t="shared" si="15"/>
        <v>2.526336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91</v>
      </c>
      <c r="C66" s="192">
        <v>89.0</v>
      </c>
      <c r="D66" s="192">
        <v>204.0</v>
      </c>
      <c r="E66" s="192">
        <v>167.0</v>
      </c>
      <c r="F66" s="192">
        <f t="shared" si="5"/>
        <v>0</v>
      </c>
      <c r="G66" s="192">
        <f t="shared" si="6"/>
        <v>69.737196</v>
      </c>
      <c r="H66" s="193">
        <f t="shared" si="7"/>
        <v>69.737196</v>
      </c>
      <c r="I66" s="192">
        <v>1.0</v>
      </c>
      <c r="J66" s="194">
        <f t="shared" si="8"/>
        <v>69.737196</v>
      </c>
      <c r="K66" s="139"/>
      <c r="L66" s="195"/>
      <c r="M66" s="196">
        <f t="shared" si="18"/>
        <v>1</v>
      </c>
      <c r="N66" s="196"/>
      <c r="O66" s="139"/>
      <c r="P66" s="139"/>
      <c r="Q66" s="177">
        <v>82.0</v>
      </c>
      <c r="R66" s="189">
        <v>23.0</v>
      </c>
      <c r="S66" s="177">
        <f t="shared" si="9"/>
        <v>1.67</v>
      </c>
      <c r="T66" s="160">
        <f t="shared" si="10"/>
        <v>1</v>
      </c>
      <c r="U66" s="160">
        <f t="shared" si="11"/>
        <v>1.67</v>
      </c>
      <c r="V66" s="190">
        <f t="shared" si="12"/>
        <v>69.737196</v>
      </c>
      <c r="W66" s="177">
        <f t="shared" ref="W66:X66" si="51">C66/100</f>
        <v>0.89</v>
      </c>
      <c r="X66" s="177">
        <f t="shared" si="51"/>
        <v>2.04</v>
      </c>
      <c r="Y66" s="177">
        <f t="shared" si="14"/>
        <v>1.67</v>
      </c>
      <c r="Z66" s="191">
        <f t="shared" si="15"/>
        <v>3.032052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91</v>
      </c>
      <c r="C67" s="192">
        <v>100.0</v>
      </c>
      <c r="D67" s="192">
        <v>204.0</v>
      </c>
      <c r="E67" s="192">
        <v>201.0</v>
      </c>
      <c r="F67" s="192">
        <f t="shared" si="5"/>
        <v>0</v>
      </c>
      <c r="G67" s="192">
        <f t="shared" si="6"/>
        <v>94.3092</v>
      </c>
      <c r="H67" s="193">
        <f t="shared" si="7"/>
        <v>94.3092</v>
      </c>
      <c r="I67" s="192">
        <v>1.0</v>
      </c>
      <c r="J67" s="194">
        <f t="shared" si="8"/>
        <v>94.3092</v>
      </c>
      <c r="K67" s="139"/>
      <c r="L67" s="195"/>
      <c r="M67" s="196">
        <f t="shared" si="18"/>
        <v>1</v>
      </c>
      <c r="N67" s="196"/>
      <c r="O67" s="139"/>
      <c r="P67" s="139"/>
      <c r="Q67" s="177">
        <v>109.0</v>
      </c>
      <c r="R67" s="189">
        <v>23.0</v>
      </c>
      <c r="S67" s="177">
        <f t="shared" si="9"/>
        <v>2.01</v>
      </c>
      <c r="T67" s="160">
        <f t="shared" si="10"/>
        <v>1</v>
      </c>
      <c r="U67" s="160">
        <f t="shared" si="11"/>
        <v>2.01</v>
      </c>
      <c r="V67" s="190">
        <f t="shared" si="12"/>
        <v>94.3092</v>
      </c>
      <c r="W67" s="177">
        <f t="shared" ref="W67:X67" si="52">C67/100</f>
        <v>1</v>
      </c>
      <c r="X67" s="177">
        <f t="shared" si="52"/>
        <v>2.04</v>
      </c>
      <c r="Y67" s="177">
        <f t="shared" si="14"/>
        <v>2.01</v>
      </c>
      <c r="Z67" s="191">
        <f t="shared" si="15"/>
        <v>4.1004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82" t="s">
        <v>91</v>
      </c>
      <c r="C68" s="183">
        <v>80.0</v>
      </c>
      <c r="D68" s="183">
        <v>204.0</v>
      </c>
      <c r="E68" s="183">
        <v>194.0</v>
      </c>
      <c r="F68" s="183">
        <f t="shared" si="5"/>
        <v>0</v>
      </c>
      <c r="G68" s="183">
        <f t="shared" si="6"/>
        <v>72.81984</v>
      </c>
      <c r="H68" s="184">
        <f t="shared" si="7"/>
        <v>72.81984</v>
      </c>
      <c r="I68" s="183">
        <v>1.0</v>
      </c>
      <c r="J68" s="185">
        <f t="shared" si="8"/>
        <v>72.81984</v>
      </c>
      <c r="K68" s="186"/>
      <c r="L68" s="265"/>
      <c r="M68" s="266">
        <f t="shared" si="18"/>
        <v>1</v>
      </c>
      <c r="N68" s="266"/>
      <c r="O68" s="186"/>
      <c r="P68" s="186"/>
      <c r="Q68" s="187">
        <v>106.0</v>
      </c>
      <c r="R68" s="189">
        <v>23.0</v>
      </c>
      <c r="S68" s="177">
        <f t="shared" si="9"/>
        <v>1.94</v>
      </c>
      <c r="T68" s="160">
        <f t="shared" si="10"/>
        <v>1</v>
      </c>
      <c r="U68" s="160">
        <f t="shared" si="11"/>
        <v>1.94</v>
      </c>
      <c r="V68" s="190">
        <f t="shared" si="12"/>
        <v>72.81984</v>
      </c>
      <c r="W68" s="177">
        <f t="shared" ref="W68:X68" si="53">C68/100</f>
        <v>0.8</v>
      </c>
      <c r="X68" s="177">
        <f t="shared" si="53"/>
        <v>2.04</v>
      </c>
      <c r="Y68" s="177">
        <f t="shared" si="14"/>
        <v>1.94</v>
      </c>
      <c r="Z68" s="191">
        <f t="shared" si="15"/>
        <v>3.16608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91</v>
      </c>
      <c r="C69" s="192">
        <v>88.0</v>
      </c>
      <c r="D69" s="192">
        <v>204.0</v>
      </c>
      <c r="E69" s="192">
        <v>167.0</v>
      </c>
      <c r="F69" s="192">
        <f t="shared" si="5"/>
        <v>0</v>
      </c>
      <c r="G69" s="192">
        <f t="shared" si="6"/>
        <v>68.953632</v>
      </c>
      <c r="H69" s="193">
        <f t="shared" si="7"/>
        <v>68.953632</v>
      </c>
      <c r="I69" s="192">
        <v>1.0</v>
      </c>
      <c r="J69" s="194">
        <f t="shared" si="8"/>
        <v>68.953632</v>
      </c>
      <c r="K69" s="139"/>
      <c r="L69" s="195"/>
      <c r="M69" s="196">
        <f t="shared" si="18"/>
        <v>1</v>
      </c>
      <c r="N69" s="196"/>
      <c r="O69" s="139"/>
      <c r="P69" s="139"/>
      <c r="Q69" s="177">
        <v>88.0</v>
      </c>
      <c r="R69" s="189">
        <v>23.0</v>
      </c>
      <c r="S69" s="177">
        <f t="shared" si="9"/>
        <v>1.67</v>
      </c>
      <c r="T69" s="160">
        <f t="shared" si="10"/>
        <v>1</v>
      </c>
      <c r="U69" s="160">
        <f t="shared" si="11"/>
        <v>1.67</v>
      </c>
      <c r="V69" s="190">
        <f t="shared" si="12"/>
        <v>68.953632</v>
      </c>
      <c r="W69" s="177">
        <f t="shared" ref="W69:X69" si="54">C69/100</f>
        <v>0.88</v>
      </c>
      <c r="X69" s="177">
        <f t="shared" si="54"/>
        <v>2.04</v>
      </c>
      <c r="Y69" s="177">
        <f t="shared" si="14"/>
        <v>1.67</v>
      </c>
      <c r="Z69" s="191">
        <f t="shared" si="15"/>
        <v>2.997984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91</v>
      </c>
      <c r="C70" s="192">
        <v>112.0</v>
      </c>
      <c r="D70" s="192">
        <v>204.0</v>
      </c>
      <c r="E70" s="192">
        <v>123.0</v>
      </c>
      <c r="F70" s="192">
        <f t="shared" si="5"/>
        <v>0</v>
      </c>
      <c r="G70" s="192">
        <f t="shared" si="6"/>
        <v>64.636992</v>
      </c>
      <c r="H70" s="193">
        <f t="shared" si="7"/>
        <v>64.636992</v>
      </c>
      <c r="I70" s="192">
        <v>1.0</v>
      </c>
      <c r="J70" s="194">
        <f t="shared" si="8"/>
        <v>64.636992</v>
      </c>
      <c r="K70" s="139"/>
      <c r="L70" s="195"/>
      <c r="M70" s="196"/>
      <c r="N70" s="196"/>
      <c r="O70" s="139"/>
      <c r="P70" s="139"/>
      <c r="Q70" s="177">
        <v>106.0</v>
      </c>
      <c r="R70" s="189">
        <v>23.0</v>
      </c>
      <c r="S70" s="177">
        <f t="shared" si="9"/>
        <v>1.23</v>
      </c>
      <c r="T70" s="160">
        <f t="shared" si="10"/>
        <v>1</v>
      </c>
      <c r="U70" s="160">
        <f t="shared" si="11"/>
        <v>1.23</v>
      </c>
      <c r="V70" s="190">
        <f t="shared" si="12"/>
        <v>64.636992</v>
      </c>
      <c r="W70" s="177">
        <f t="shared" ref="W70:X70" si="55">C70/100</f>
        <v>1.12</v>
      </c>
      <c r="X70" s="177">
        <f t="shared" si="55"/>
        <v>2.04</v>
      </c>
      <c r="Y70" s="177">
        <f t="shared" si="14"/>
        <v>1.23</v>
      </c>
      <c r="Z70" s="191">
        <f t="shared" si="15"/>
        <v>2.810304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91</v>
      </c>
      <c r="C71" s="192">
        <v>116.0</v>
      </c>
      <c r="D71" s="192">
        <v>204.0</v>
      </c>
      <c r="E71" s="192">
        <v>2874.0</v>
      </c>
      <c r="F71" s="192">
        <f t="shared" si="5"/>
        <v>0</v>
      </c>
      <c r="G71" s="192">
        <f t="shared" si="6"/>
        <v>1564.237728</v>
      </c>
      <c r="H71" s="193">
        <f t="shared" si="7"/>
        <v>1564.237728</v>
      </c>
      <c r="I71" s="192">
        <v>1.0</v>
      </c>
      <c r="J71" s="194">
        <f t="shared" si="8"/>
        <v>1564.237728</v>
      </c>
      <c r="K71" s="139"/>
      <c r="L71" s="195"/>
      <c r="M71" s="196"/>
      <c r="N71" s="196"/>
      <c r="O71" s="139"/>
      <c r="P71" s="139"/>
      <c r="Q71" s="177">
        <v>1630.0</v>
      </c>
      <c r="R71" s="189">
        <v>23.0</v>
      </c>
      <c r="S71" s="177">
        <f t="shared" si="9"/>
        <v>28.74</v>
      </c>
      <c r="T71" s="160">
        <f t="shared" si="10"/>
        <v>1</v>
      </c>
      <c r="U71" s="160">
        <f t="shared" si="11"/>
        <v>28.74</v>
      </c>
      <c r="V71" s="190">
        <f t="shared" si="12"/>
        <v>1564.237728</v>
      </c>
      <c r="W71" s="177">
        <f t="shared" ref="W71:X71" si="56">C71/100</f>
        <v>1.16</v>
      </c>
      <c r="X71" s="177">
        <f t="shared" si="56"/>
        <v>2.04</v>
      </c>
      <c r="Y71" s="177">
        <f t="shared" si="14"/>
        <v>28.74</v>
      </c>
      <c r="Z71" s="191">
        <f t="shared" si="15"/>
        <v>68.010336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91</v>
      </c>
      <c r="C72" s="192">
        <v>103.0</v>
      </c>
      <c r="D72" s="192">
        <v>204.0</v>
      </c>
      <c r="E72" s="192">
        <v>2769.0</v>
      </c>
      <c r="F72" s="192">
        <f t="shared" si="5"/>
        <v>0</v>
      </c>
      <c r="G72" s="192">
        <f t="shared" si="6"/>
        <v>1338.191244</v>
      </c>
      <c r="H72" s="193">
        <f t="shared" si="7"/>
        <v>1338.191244</v>
      </c>
      <c r="I72" s="192">
        <v>1.0</v>
      </c>
      <c r="J72" s="194">
        <f t="shared" si="8"/>
        <v>1338.191244</v>
      </c>
      <c r="K72" s="139"/>
      <c r="L72" s="195"/>
      <c r="M72" s="196"/>
      <c r="N72" s="196"/>
      <c r="O72" s="139"/>
      <c r="P72" s="139"/>
      <c r="Q72" s="177">
        <v>1605.0</v>
      </c>
      <c r="R72" s="189">
        <v>23.0</v>
      </c>
      <c r="S72" s="177">
        <f t="shared" si="9"/>
        <v>27.69</v>
      </c>
      <c r="T72" s="160">
        <f t="shared" si="10"/>
        <v>1</v>
      </c>
      <c r="U72" s="160">
        <f t="shared" si="11"/>
        <v>27.69</v>
      </c>
      <c r="V72" s="190">
        <f t="shared" si="12"/>
        <v>1338.191244</v>
      </c>
      <c r="W72" s="177">
        <f t="shared" ref="W72:X72" si="57">C72/100</f>
        <v>1.03</v>
      </c>
      <c r="X72" s="177">
        <f t="shared" si="57"/>
        <v>2.04</v>
      </c>
      <c r="Y72" s="177">
        <f t="shared" si="14"/>
        <v>27.69</v>
      </c>
      <c r="Z72" s="191">
        <f t="shared" si="15"/>
        <v>58.182228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91</v>
      </c>
      <c r="C73" s="192">
        <v>97.0</v>
      </c>
      <c r="D73" s="192">
        <v>204.0</v>
      </c>
      <c r="E73" s="192">
        <v>2890.0</v>
      </c>
      <c r="F73" s="192">
        <f t="shared" si="5"/>
        <v>0</v>
      </c>
      <c r="G73" s="192">
        <f t="shared" si="6"/>
        <v>1315.30836</v>
      </c>
      <c r="H73" s="193">
        <f t="shared" si="7"/>
        <v>1315.30836</v>
      </c>
      <c r="I73" s="192">
        <v>1.0</v>
      </c>
      <c r="J73" s="194">
        <f t="shared" si="8"/>
        <v>1315.30836</v>
      </c>
      <c r="K73" s="139"/>
      <c r="L73" s="195"/>
      <c r="M73" s="196"/>
      <c r="N73" s="196"/>
      <c r="O73" s="139"/>
      <c r="P73" s="139"/>
      <c r="Q73" s="177">
        <v>1570.0</v>
      </c>
      <c r="R73" s="189">
        <v>23.0</v>
      </c>
      <c r="S73" s="177">
        <f t="shared" si="9"/>
        <v>28.9</v>
      </c>
      <c r="T73" s="160">
        <f t="shared" si="10"/>
        <v>1</v>
      </c>
      <c r="U73" s="160">
        <f t="shared" si="11"/>
        <v>28.9</v>
      </c>
      <c r="V73" s="190">
        <f t="shared" si="12"/>
        <v>1315.30836</v>
      </c>
      <c r="W73" s="177">
        <f t="shared" ref="W73:X73" si="58">C73/100</f>
        <v>0.97</v>
      </c>
      <c r="X73" s="177">
        <f t="shared" si="58"/>
        <v>2.04</v>
      </c>
      <c r="Y73" s="177">
        <f t="shared" si="14"/>
        <v>28.9</v>
      </c>
      <c r="Z73" s="191">
        <f t="shared" si="15"/>
        <v>57.18732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2" t="s">
        <v>91</v>
      </c>
      <c r="C74" s="192">
        <v>112.0</v>
      </c>
      <c r="D74" s="192">
        <v>204.0</v>
      </c>
      <c r="E74" s="192">
        <v>2876.0</v>
      </c>
      <c r="F74" s="192">
        <f t="shared" si="5"/>
        <v>0</v>
      </c>
      <c r="G74" s="192">
        <f t="shared" si="6"/>
        <v>1511.349504</v>
      </c>
      <c r="H74" s="193">
        <f t="shared" si="7"/>
        <v>1511.349504</v>
      </c>
      <c r="I74" s="192">
        <v>1.0</v>
      </c>
      <c r="J74" s="194">
        <f t="shared" si="8"/>
        <v>1511.349504</v>
      </c>
      <c r="K74" s="139"/>
      <c r="L74" s="195"/>
      <c r="M74" s="196"/>
      <c r="N74" s="196"/>
      <c r="O74" s="139"/>
      <c r="P74" s="139"/>
      <c r="Q74" s="177">
        <v>1570.0</v>
      </c>
      <c r="R74" s="189">
        <v>23.0</v>
      </c>
      <c r="S74" s="177">
        <f t="shared" si="9"/>
        <v>28.76</v>
      </c>
      <c r="T74" s="160">
        <f t="shared" si="10"/>
        <v>1</v>
      </c>
      <c r="U74" s="160">
        <f t="shared" si="11"/>
        <v>28.76</v>
      </c>
      <c r="V74" s="190">
        <f t="shared" si="12"/>
        <v>1511.349504</v>
      </c>
      <c r="W74" s="177">
        <f t="shared" ref="W74:X74" si="59">C74/100</f>
        <v>1.12</v>
      </c>
      <c r="X74" s="177">
        <f t="shared" si="59"/>
        <v>2.04</v>
      </c>
      <c r="Y74" s="177">
        <f t="shared" si="14"/>
        <v>28.76</v>
      </c>
      <c r="Z74" s="191">
        <f t="shared" si="15"/>
        <v>65.710848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51.0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52.0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53.0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54.0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3">C78/100</f>
        <v>0</v>
      </c>
      <c r="X78" s="177">
        <f t="shared" si="63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55.0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4">C79/100</f>
        <v>0</v>
      </c>
      <c r="X79" s="177">
        <f t="shared" si="64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56.0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5">C80/100</f>
        <v>0</v>
      </c>
      <c r="X80" s="177">
        <f t="shared" si="65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57.0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6">C81/100</f>
        <v>0</v>
      </c>
      <c r="X81" s="177">
        <f t="shared" si="66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58.0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67">C82/100</f>
        <v>0</v>
      </c>
      <c r="X82" s="177">
        <f t="shared" si="67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59.0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68">C83/100</f>
        <v>0</v>
      </c>
      <c r="X83" s="177">
        <f t="shared" si="68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60.0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77">
        <f t="shared" ref="L84:L85" si="70">D84*25.4/1000</f>
        <v>0</v>
      </c>
      <c r="M84" s="160" t="str">
        <f t="shared" ref="M84:M99" si="71">+I84</f>
        <v/>
      </c>
      <c r="N84" s="160">
        <f t="shared" ref="N84:N85" si="72">M84*L84</f>
        <v>0</v>
      </c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69">C84/100</f>
        <v>0</v>
      </c>
      <c r="X84" s="177">
        <f t="shared" si="69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61.0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>
        <f t="shared" si="70"/>
        <v>0</v>
      </c>
      <c r="M85" s="196" t="str">
        <f t="shared" si="71"/>
        <v/>
      </c>
      <c r="N85" s="196">
        <f t="shared" si="72"/>
        <v>0</v>
      </c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62.0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71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63.0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71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64.0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71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65.0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71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7">C89/100</f>
        <v>0</v>
      </c>
      <c r="X89" s="177">
        <f t="shared" si="77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66.0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71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8">C90/100</f>
        <v>0</v>
      </c>
      <c r="X90" s="177">
        <f t="shared" si="78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67.0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71"/>
        <v/>
      </c>
      <c r="N91" s="196"/>
      <c r="O91" s="139"/>
      <c r="P91" s="139"/>
      <c r="Q91" s="177"/>
      <c r="R91" s="141"/>
      <c r="S91" s="177">
        <f t="shared" si="9"/>
        <v>0</v>
      </c>
      <c r="T91" s="160" t="str">
        <f t="shared" si="10"/>
        <v/>
      </c>
      <c r="U91" s="160">
        <f t="shared" si="11"/>
        <v>0</v>
      </c>
      <c r="V91" s="190">
        <f t="shared" si="12"/>
        <v>0</v>
      </c>
      <c r="W91" s="177">
        <f t="shared" ref="W91:X91" si="79">C91/100</f>
        <v>0</v>
      </c>
      <c r="X91" s="177">
        <f t="shared" si="79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68.0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71"/>
        <v/>
      </c>
      <c r="N92" s="196"/>
      <c r="O92" s="139"/>
      <c r="P92" s="139"/>
      <c r="Q92" s="177"/>
      <c r="R92" s="141"/>
      <c r="S92" s="177">
        <f t="shared" si="9"/>
        <v>0</v>
      </c>
      <c r="T92" s="160" t="str">
        <f t="shared" si="10"/>
        <v/>
      </c>
      <c r="U92" s="160">
        <f t="shared" si="11"/>
        <v>0</v>
      </c>
      <c r="V92" s="190">
        <f t="shared" si="12"/>
        <v>0</v>
      </c>
      <c r="W92" s="177">
        <f t="shared" ref="W92:X92" si="80">C92/100</f>
        <v>0</v>
      </c>
      <c r="X92" s="177">
        <f t="shared" si="80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69.0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71"/>
        <v/>
      </c>
      <c r="N93" s="196"/>
      <c r="O93" s="139"/>
      <c r="P93" s="139"/>
      <c r="Q93" s="177"/>
      <c r="R93" s="141"/>
      <c r="S93" s="177">
        <f t="shared" si="9"/>
        <v>0</v>
      </c>
      <c r="T93" s="160" t="str">
        <f t="shared" si="10"/>
        <v/>
      </c>
      <c r="U93" s="160">
        <f t="shared" si="11"/>
        <v>0</v>
      </c>
      <c r="V93" s="190">
        <f t="shared" si="12"/>
        <v>0</v>
      </c>
      <c r="W93" s="177">
        <f t="shared" ref="W93:X93" si="81">C93/100</f>
        <v>0</v>
      </c>
      <c r="X93" s="177">
        <f t="shared" si="81"/>
        <v>0</v>
      </c>
      <c r="Y93" s="177">
        <f t="shared" si="14"/>
        <v>0</v>
      </c>
      <c r="Z93" s="19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70.0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71"/>
        <v/>
      </c>
      <c r="N94" s="196"/>
      <c r="O94" s="139"/>
      <c r="P94" s="139"/>
      <c r="Q94" s="177"/>
      <c r="R94" s="141"/>
      <c r="S94" s="177">
        <f t="shared" si="9"/>
        <v>0</v>
      </c>
      <c r="T94" s="160" t="str">
        <f t="shared" si="10"/>
        <v/>
      </c>
      <c r="U94" s="160">
        <f t="shared" si="11"/>
        <v>0</v>
      </c>
      <c r="V94" s="190">
        <f t="shared" si="12"/>
        <v>0</v>
      </c>
      <c r="W94" s="177">
        <f t="shared" ref="W94:X94" si="82">C94/100</f>
        <v>0</v>
      </c>
      <c r="X94" s="177">
        <f t="shared" si="82"/>
        <v>0</v>
      </c>
      <c r="Y94" s="177">
        <f t="shared" si="14"/>
        <v>0</v>
      </c>
      <c r="Z94" s="19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71.0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 t="str">
        <f t="shared" si="71"/>
        <v/>
      </c>
      <c r="N95" s="196"/>
      <c r="O95" s="139"/>
      <c r="P95" s="139"/>
      <c r="Q95" s="177"/>
      <c r="R95" s="141"/>
      <c r="S95" s="177">
        <f t="shared" si="9"/>
        <v>0</v>
      </c>
      <c r="T95" s="160" t="str">
        <f t="shared" si="10"/>
        <v/>
      </c>
      <c r="U95" s="160">
        <f t="shared" si="11"/>
        <v>0</v>
      </c>
      <c r="V95" s="190">
        <f t="shared" si="12"/>
        <v>0</v>
      </c>
      <c r="W95" s="177">
        <f t="shared" ref="W95:X95" si="83">C95/100</f>
        <v>0</v>
      </c>
      <c r="X95" s="177">
        <f t="shared" si="83"/>
        <v>0</v>
      </c>
      <c r="Y95" s="177">
        <f t="shared" si="14"/>
        <v>0</v>
      </c>
      <c r="Z95" s="19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72.0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 t="str">
        <f t="shared" si="71"/>
        <v/>
      </c>
      <c r="N96" s="196"/>
      <c r="O96" s="139"/>
      <c r="P96" s="139"/>
      <c r="Q96" s="177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199">
        <f t="shared" si="12"/>
        <v>0</v>
      </c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73.0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 t="str">
        <f t="shared" si="71"/>
        <v/>
      </c>
      <c r="N97" s="196"/>
      <c r="O97" s="139"/>
      <c r="P97" s="139"/>
      <c r="Q97" s="177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199">
        <f t="shared" si="12"/>
        <v>0</v>
      </c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74.0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 t="str">
        <f t="shared" si="71"/>
        <v/>
      </c>
      <c r="N98" s="196"/>
      <c r="O98" s="139"/>
      <c r="P98" s="139"/>
      <c r="Q98" s="177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199">
        <f t="shared" si="12"/>
        <v>0</v>
      </c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75.0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 t="str">
        <f t="shared" si="71"/>
        <v/>
      </c>
      <c r="N99" s="196"/>
      <c r="O99" s="139"/>
      <c r="P99" s="139"/>
      <c r="Q99" s="177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199">
        <f t="shared" si="12"/>
        <v>0</v>
      </c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76.0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77.0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78.0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79.0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80.0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81.0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82.0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83.0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84.0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85.0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86.0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87.0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88.0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89.0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90.0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91.0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92.0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93.0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94.0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95.0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96.0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97.0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98.0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99.0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100.0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101.0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102.0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103.0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104.0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105.0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106.0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107.0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108.0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109.0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110.0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111.0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112.0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113.0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114.0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115.0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116.0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117.0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118.0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119.0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120.0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121.0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122.0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123.0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124.0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125.0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126.0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127.0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128.0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129.0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130.0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131.0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132.0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133.0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134.0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135.0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136.0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137.0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138.0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139.0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140.0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141.0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142.0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143.0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144.0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145.0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146.0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147.0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148.0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149.0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150.0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151.0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152.0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153.0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154.0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155.0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156.0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157.0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158.0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159.0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160.0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161.0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162.0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163.0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164.0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165.0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166.0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167.0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168.0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169.0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170.0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171.0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172.0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173.0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174.0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175.0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176.0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177.0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178.0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179.0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180.0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181.0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182.0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183.0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184.0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185.0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186.0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187.0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188.0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189.0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190.0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191.0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192.0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193.0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194.0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195.0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196.0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197.0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198.0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199.0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200.0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201.0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202.0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203.0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204.0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205.0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206.0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207.0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208.0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209.0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210.0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211.0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212.0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4">C236/100</f>
        <v>0</v>
      </c>
      <c r="X236" s="197">
        <f t="shared" si="224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213.0</v>
      </c>
      <c r="B237" s="192"/>
      <c r="C237" s="192"/>
      <c r="D237" s="192"/>
      <c r="E237" s="192"/>
      <c r="F237" s="192">
        <f t="shared" si="5"/>
        <v>0</v>
      </c>
      <c r="G237" s="192">
        <f t="shared" si="6"/>
        <v>0</v>
      </c>
      <c r="H237" s="193">
        <f t="shared" si="7"/>
        <v>0</v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5">C237/100</f>
        <v>0</v>
      </c>
      <c r="X237" s="197">
        <f t="shared" si="225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214.0</v>
      </c>
      <c r="B238" s="192"/>
      <c r="C238" s="192"/>
      <c r="D238" s="192"/>
      <c r="E238" s="192"/>
      <c r="F238" s="192">
        <f t="shared" si="5"/>
        <v>0</v>
      </c>
      <c r="G238" s="192">
        <f t="shared" si="6"/>
        <v>0</v>
      </c>
      <c r="H238" s="193">
        <f t="shared" si="7"/>
        <v>0</v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9"/>
        <v>0</v>
      </c>
      <c r="T238" s="198" t="str">
        <f t="shared" si="10"/>
        <v/>
      </c>
      <c r="U238" s="198">
        <f t="shared" si="11"/>
        <v>0</v>
      </c>
      <c r="V238" s="201"/>
      <c r="W238" s="197">
        <f t="shared" ref="W238:X238" si="226">C238/100</f>
        <v>0</v>
      </c>
      <c r="X238" s="197">
        <f t="shared" si="226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215.0</v>
      </c>
      <c r="B239" s="192"/>
      <c r="C239" s="192"/>
      <c r="D239" s="192"/>
      <c r="E239" s="192"/>
      <c r="F239" s="192">
        <f t="shared" si="5"/>
        <v>0</v>
      </c>
      <c r="G239" s="192">
        <f t="shared" si="6"/>
        <v>0</v>
      </c>
      <c r="H239" s="193">
        <f t="shared" si="7"/>
        <v>0</v>
      </c>
      <c r="I239" s="192"/>
      <c r="J239" s="194">
        <f t="shared" si="8"/>
        <v>0</v>
      </c>
      <c r="K239" s="139"/>
      <c r="L239" s="195"/>
      <c r="M239" s="196"/>
      <c r="N239" s="196"/>
      <c r="O239" s="139"/>
      <c r="P239" s="139"/>
      <c r="Q239" s="194"/>
      <c r="R239" s="141"/>
      <c r="S239" s="197">
        <f t="shared" si="9"/>
        <v>0</v>
      </c>
      <c r="T239" s="198" t="str">
        <f t="shared" si="10"/>
        <v/>
      </c>
      <c r="U239" s="198">
        <f t="shared" si="11"/>
        <v>0</v>
      </c>
      <c r="V239" s="201"/>
      <c r="W239" s="197">
        <f t="shared" ref="W239:X239" si="227">C239/100</f>
        <v>0</v>
      </c>
      <c r="X239" s="197">
        <f t="shared" si="227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216.0</v>
      </c>
      <c r="B240" s="192"/>
      <c r="C240" s="192"/>
      <c r="D240" s="192"/>
      <c r="E240" s="192"/>
      <c r="F240" s="192">
        <f t="shared" si="5"/>
        <v>0</v>
      </c>
      <c r="G240" s="192">
        <f t="shared" si="6"/>
        <v>0</v>
      </c>
      <c r="H240" s="193">
        <f t="shared" si="7"/>
        <v>0</v>
      </c>
      <c r="I240" s="192"/>
      <c r="J240" s="194">
        <f t="shared" si="8"/>
        <v>0</v>
      </c>
      <c r="K240" s="139"/>
      <c r="L240" s="195"/>
      <c r="M240" s="196"/>
      <c r="N240" s="196"/>
      <c r="O240" s="139"/>
      <c r="P240" s="139"/>
      <c r="Q240" s="194"/>
      <c r="R240" s="141"/>
      <c r="S240" s="197">
        <f t="shared" si="9"/>
        <v>0</v>
      </c>
      <c r="T240" s="198" t="str">
        <f t="shared" si="10"/>
        <v/>
      </c>
      <c r="U240" s="198">
        <f t="shared" si="11"/>
        <v>0</v>
      </c>
      <c r="V240" s="201"/>
      <c r="W240" s="197">
        <f t="shared" ref="W240:X240" si="228">C240/100</f>
        <v>0</v>
      </c>
      <c r="X240" s="197">
        <f t="shared" si="228"/>
        <v>0</v>
      </c>
      <c r="Y240" s="197">
        <f t="shared" si="14"/>
        <v>0</v>
      </c>
      <c r="Z240" s="200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217.0</v>
      </c>
      <c r="B241" s="192"/>
      <c r="C241" s="192"/>
      <c r="D241" s="192"/>
      <c r="E241" s="192"/>
      <c r="F241" s="192">
        <f t="shared" si="5"/>
        <v>0</v>
      </c>
      <c r="G241" s="192">
        <f t="shared" si="6"/>
        <v>0</v>
      </c>
      <c r="H241" s="193">
        <f t="shared" si="7"/>
        <v>0</v>
      </c>
      <c r="I241" s="192"/>
      <c r="J241" s="194">
        <f t="shared" si="8"/>
        <v>0</v>
      </c>
      <c r="K241" s="139"/>
      <c r="L241" s="195"/>
      <c r="M241" s="196"/>
      <c r="N241" s="196"/>
      <c r="O241" s="139"/>
      <c r="P241" s="139"/>
      <c r="Q241" s="194"/>
      <c r="R241" s="141"/>
      <c r="S241" s="197">
        <f t="shared" si="9"/>
        <v>0</v>
      </c>
      <c r="T241" s="198" t="str">
        <f t="shared" si="10"/>
        <v/>
      </c>
      <c r="U241" s="198">
        <f t="shared" si="11"/>
        <v>0</v>
      </c>
      <c r="V241" s="201"/>
      <c r="W241" s="197">
        <f t="shared" ref="W241:X241" si="229">C241/100</f>
        <v>0</v>
      </c>
      <c r="X241" s="197">
        <f t="shared" si="229"/>
        <v>0</v>
      </c>
      <c r="Y241" s="197">
        <f t="shared" si="14"/>
        <v>0</v>
      </c>
      <c r="Z241" s="200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customHeight="1">
      <c r="A242" s="160"/>
      <c r="B242" s="177"/>
      <c r="C242" s="177"/>
      <c r="D242" s="177"/>
      <c r="E242" s="177"/>
      <c r="F242" s="177"/>
      <c r="G242" s="177"/>
      <c r="H242" s="180"/>
      <c r="I242" s="160"/>
      <c r="J242" s="202">
        <f>+Q305</f>
        <v>163.2</v>
      </c>
      <c r="K242" s="139"/>
      <c r="L242" s="139"/>
      <c r="M242" s="139"/>
      <c r="N242" s="139"/>
      <c r="O242" s="139"/>
      <c r="P242" s="139"/>
      <c r="Q242" s="139"/>
      <c r="R242" s="203"/>
      <c r="S242" s="197">
        <f t="shared" si="9"/>
        <v>0</v>
      </c>
      <c r="T242" s="198" t="str">
        <f t="shared" si="10"/>
        <v/>
      </c>
      <c r="U242" s="198">
        <f t="shared" si="11"/>
        <v>0</v>
      </c>
      <c r="V242" s="201"/>
      <c r="W242" s="197">
        <f t="shared" ref="W242:X242" si="230">C242/100</f>
        <v>0</v>
      </c>
      <c r="X242" s="197">
        <f t="shared" si="230"/>
        <v>0</v>
      </c>
      <c r="Y242" s="197">
        <f t="shared" si="14"/>
        <v>0</v>
      </c>
      <c r="Z242" s="200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customHeight="1">
      <c r="A243" s="160"/>
      <c r="B243" s="204"/>
      <c r="C243" s="204"/>
      <c r="D243" s="204"/>
      <c r="E243" s="204"/>
      <c r="F243" s="204"/>
      <c r="G243" s="204"/>
      <c r="H243" s="205"/>
      <c r="I243" s="206">
        <f>SUM(I32:I241)</f>
        <v>43</v>
      </c>
      <c r="J243" s="207">
        <f>SUM(J32:J242)</f>
        <v>38437.22167</v>
      </c>
      <c r="K243" s="208"/>
      <c r="L243" s="208"/>
      <c r="M243" s="208"/>
      <c r="N243" s="208"/>
      <c r="O243" s="208"/>
      <c r="P243" s="208"/>
      <c r="Q243" s="208"/>
      <c r="R243" s="141"/>
      <c r="S243" s="208">
        <f>SUMIFS($T$32:$T$241,$S$32:$S$241,"&gt;=3")</f>
        <v>25</v>
      </c>
      <c r="T243" s="208">
        <f t="shared" ref="T243:U243" si="231">SUM(T32:T241)</f>
        <v>43</v>
      </c>
      <c r="U243" s="208">
        <f t="shared" si="231"/>
        <v>739.95</v>
      </c>
      <c r="V243" s="208"/>
      <c r="W243" s="208"/>
      <c r="X243" s="208"/>
      <c r="Y243" s="208"/>
      <c r="Z243" s="209">
        <f>SUM(Z32:Z242)</f>
        <v>1491.523224</v>
      </c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208"/>
      <c r="AP243" s="208"/>
      <c r="AQ243" s="208"/>
      <c r="AR243" s="208"/>
      <c r="AS243" s="208"/>
      <c r="AT243" s="208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01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139" t="s">
        <v>48</v>
      </c>
      <c r="U245" s="139" t="s">
        <v>59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 t="s">
        <v>31</v>
      </c>
      <c r="T246" s="210">
        <f>SUMIFS($J$32:$J$241,$S$32:$S$241,"&gt;=3")</f>
        <v>36757.59007</v>
      </c>
      <c r="U246" s="211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9.25" customHeight="1">
      <c r="A247" s="139" t="s">
        <v>32</v>
      </c>
      <c r="B247" s="139"/>
      <c r="C247" s="139"/>
      <c r="D247" s="139" t="s">
        <v>33</v>
      </c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 t="s">
        <v>34</v>
      </c>
      <c r="T247" s="212">
        <f>J243-T246</f>
        <v>1679.631601</v>
      </c>
      <c r="U247" s="211">
        <f>+SUMIFS($U$32:$U$241,$S$32:$S$241,"&gt;=3")</f>
        <v>709.46</v>
      </c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03"/>
      <c r="S248" s="139"/>
      <c r="T248" s="213">
        <f>+I243</f>
        <v>43</v>
      </c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39.0" customHeight="1">
      <c r="A249" s="177"/>
      <c r="B249" s="160" t="s">
        <v>12</v>
      </c>
      <c r="C249" s="178" t="s">
        <v>60</v>
      </c>
      <c r="D249" s="52"/>
      <c r="E249" s="53"/>
      <c r="F249" s="179"/>
      <c r="G249" s="179"/>
      <c r="H249" s="180" t="s">
        <v>14</v>
      </c>
      <c r="I249" s="160" t="s">
        <v>15</v>
      </c>
      <c r="J249" s="160" t="s">
        <v>16</v>
      </c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1.0</v>
      </c>
      <c r="B250" s="214"/>
      <c r="C250" s="214"/>
      <c r="D250" s="214"/>
      <c r="E250" s="214"/>
      <c r="F250" s="214">
        <f t="shared" ref="F250:F263" si="232">1-VALUE(IF(RIGHT(B250, 1)="%", RIGHT(B250, 3), 0))</f>
        <v>1</v>
      </c>
      <c r="G250" s="214">
        <f t="shared" ref="G250:G263" si="233">+Q250*C250/100*D250/100*E250/100</f>
        <v>0</v>
      </c>
      <c r="H250" s="215">
        <f t="shared" ref="H250:H263" si="234">IF(F250=0, G250, F250*G250)</f>
        <v>0</v>
      </c>
      <c r="I250" s="214"/>
      <c r="J250" s="216"/>
      <c r="K250" s="139"/>
      <c r="L250" s="177">
        <f t="shared" ref="L250:L258" si="235">D250*25.4/1000</f>
        <v>0</v>
      </c>
      <c r="M250" s="160" t="str">
        <f t="shared" ref="M250:M254" si="236">+I250</f>
        <v/>
      </c>
      <c r="N250" s="160">
        <f t="shared" ref="N250:N254" si="237">M250*L250</f>
        <v>0</v>
      </c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2.0</v>
      </c>
      <c r="B251" s="214"/>
      <c r="C251" s="214"/>
      <c r="D251" s="214"/>
      <c r="E251" s="214"/>
      <c r="F251" s="214">
        <f t="shared" si="232"/>
        <v>1</v>
      </c>
      <c r="G251" s="214">
        <f t="shared" si="233"/>
        <v>0</v>
      </c>
      <c r="H251" s="215">
        <f t="shared" si="234"/>
        <v>0</v>
      </c>
      <c r="I251" s="214"/>
      <c r="J251" s="216">
        <f t="shared" ref="J251:J263" si="238">+I251*H251</f>
        <v>0</v>
      </c>
      <c r="K251" s="139"/>
      <c r="L251" s="177">
        <f t="shared" si="235"/>
        <v>0</v>
      </c>
      <c r="M251" s="160" t="str">
        <f t="shared" si="236"/>
        <v/>
      </c>
      <c r="N251" s="160">
        <f t="shared" si="237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3.0</v>
      </c>
      <c r="B252" s="217"/>
      <c r="C252" s="217"/>
      <c r="D252" s="217"/>
      <c r="E252" s="217"/>
      <c r="F252" s="217">
        <f t="shared" si="232"/>
        <v>1</v>
      </c>
      <c r="G252" s="217">
        <f t="shared" si="233"/>
        <v>0</v>
      </c>
      <c r="H252" s="218">
        <f t="shared" si="234"/>
        <v>0</v>
      </c>
      <c r="I252" s="217"/>
      <c r="J252" s="194">
        <f t="shared" si="238"/>
        <v>0</v>
      </c>
      <c r="K252" s="139"/>
      <c r="L252" s="177">
        <f t="shared" si="235"/>
        <v>0</v>
      </c>
      <c r="M252" s="160" t="str">
        <f t="shared" si="236"/>
        <v/>
      </c>
      <c r="N252" s="160">
        <f t="shared" si="237"/>
        <v>0</v>
      </c>
      <c r="O252" s="139"/>
      <c r="P252" s="139"/>
      <c r="Q252" s="139"/>
      <c r="R252" s="13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4.0</v>
      </c>
      <c r="B253" s="217"/>
      <c r="C253" s="217"/>
      <c r="D253" s="217"/>
      <c r="E253" s="217"/>
      <c r="F253" s="217">
        <f t="shared" si="232"/>
        <v>1</v>
      </c>
      <c r="G253" s="217">
        <f t="shared" si="233"/>
        <v>0</v>
      </c>
      <c r="H253" s="218">
        <f t="shared" si="234"/>
        <v>0</v>
      </c>
      <c r="I253" s="217"/>
      <c r="J253" s="194">
        <f t="shared" si="238"/>
        <v>0</v>
      </c>
      <c r="K253" s="139"/>
      <c r="L253" s="177">
        <f t="shared" si="235"/>
        <v>0</v>
      </c>
      <c r="M253" s="160" t="str">
        <f t="shared" si="236"/>
        <v/>
      </c>
      <c r="N253" s="160">
        <f t="shared" si="237"/>
        <v>0</v>
      </c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5.0</v>
      </c>
      <c r="B254" s="217"/>
      <c r="C254" s="217"/>
      <c r="D254" s="217"/>
      <c r="E254" s="217"/>
      <c r="F254" s="217">
        <f t="shared" si="232"/>
        <v>1</v>
      </c>
      <c r="G254" s="217">
        <f t="shared" si="233"/>
        <v>0</v>
      </c>
      <c r="H254" s="218">
        <f t="shared" si="234"/>
        <v>0</v>
      </c>
      <c r="I254" s="217"/>
      <c r="J254" s="194">
        <f t="shared" si="238"/>
        <v>0</v>
      </c>
      <c r="K254" s="139"/>
      <c r="L254" s="177">
        <f t="shared" si="235"/>
        <v>0</v>
      </c>
      <c r="M254" s="160" t="str">
        <f t="shared" si="236"/>
        <v/>
      </c>
      <c r="N254" s="160">
        <f t="shared" si="237"/>
        <v>0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6.0</v>
      </c>
      <c r="B255" s="217"/>
      <c r="C255" s="217"/>
      <c r="D255" s="217"/>
      <c r="E255" s="217"/>
      <c r="F255" s="217">
        <f t="shared" si="232"/>
        <v>1</v>
      </c>
      <c r="G255" s="217">
        <f t="shared" si="233"/>
        <v>0</v>
      </c>
      <c r="H255" s="218">
        <f t="shared" si="234"/>
        <v>0</v>
      </c>
      <c r="I255" s="217"/>
      <c r="J255" s="194">
        <f t="shared" si="238"/>
        <v>0</v>
      </c>
      <c r="K255" s="139"/>
      <c r="L255" s="139">
        <f t="shared" si="235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7.0</v>
      </c>
      <c r="B256" s="217"/>
      <c r="C256" s="217"/>
      <c r="D256" s="217"/>
      <c r="E256" s="217"/>
      <c r="F256" s="217">
        <f t="shared" si="232"/>
        <v>1</v>
      </c>
      <c r="G256" s="217">
        <f t="shared" si="233"/>
        <v>0</v>
      </c>
      <c r="H256" s="218">
        <f t="shared" si="234"/>
        <v>0</v>
      </c>
      <c r="I256" s="217"/>
      <c r="J256" s="194">
        <f t="shared" si="238"/>
        <v>0</v>
      </c>
      <c r="K256" s="139"/>
      <c r="L256" s="139">
        <f t="shared" si="235"/>
        <v>0</v>
      </c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8.0</v>
      </c>
      <c r="B257" s="217"/>
      <c r="C257" s="217"/>
      <c r="D257" s="217"/>
      <c r="E257" s="217"/>
      <c r="F257" s="217">
        <f t="shared" si="232"/>
        <v>1</v>
      </c>
      <c r="G257" s="217">
        <f t="shared" si="233"/>
        <v>0</v>
      </c>
      <c r="H257" s="218">
        <f t="shared" si="234"/>
        <v>0</v>
      </c>
      <c r="I257" s="217"/>
      <c r="J257" s="194">
        <f t="shared" si="238"/>
        <v>0</v>
      </c>
      <c r="K257" s="139"/>
      <c r="L257" s="139">
        <f t="shared" si="235"/>
        <v>0</v>
      </c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9.0</v>
      </c>
      <c r="B258" s="217"/>
      <c r="C258" s="217"/>
      <c r="D258" s="217"/>
      <c r="E258" s="217"/>
      <c r="F258" s="217">
        <f t="shared" si="232"/>
        <v>1</v>
      </c>
      <c r="G258" s="217">
        <f t="shared" si="233"/>
        <v>0</v>
      </c>
      <c r="H258" s="218">
        <f t="shared" si="234"/>
        <v>0</v>
      </c>
      <c r="I258" s="217"/>
      <c r="J258" s="194">
        <f t="shared" si="238"/>
        <v>0</v>
      </c>
      <c r="K258" s="139"/>
      <c r="L258" s="139">
        <f t="shared" si="235"/>
        <v>0</v>
      </c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10.0</v>
      </c>
      <c r="B259" s="192"/>
      <c r="C259" s="192"/>
      <c r="D259" s="192"/>
      <c r="E259" s="192"/>
      <c r="F259" s="192">
        <f t="shared" si="232"/>
        <v>1</v>
      </c>
      <c r="G259" s="192">
        <f t="shared" si="233"/>
        <v>0</v>
      </c>
      <c r="H259" s="193">
        <f t="shared" si="234"/>
        <v>0</v>
      </c>
      <c r="I259" s="192"/>
      <c r="J259" s="194">
        <f t="shared" si="238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11.0</v>
      </c>
      <c r="B260" s="192"/>
      <c r="C260" s="192"/>
      <c r="D260" s="192"/>
      <c r="E260" s="192"/>
      <c r="F260" s="192">
        <f t="shared" si="232"/>
        <v>1</v>
      </c>
      <c r="G260" s="192">
        <f t="shared" si="233"/>
        <v>0</v>
      </c>
      <c r="H260" s="193">
        <f t="shared" si="234"/>
        <v>0</v>
      </c>
      <c r="I260" s="192"/>
      <c r="J260" s="194">
        <f t="shared" si="238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12.0</v>
      </c>
      <c r="B261" s="192"/>
      <c r="C261" s="192"/>
      <c r="D261" s="192"/>
      <c r="E261" s="192"/>
      <c r="F261" s="192">
        <f t="shared" si="232"/>
        <v>1</v>
      </c>
      <c r="G261" s="192">
        <f t="shared" si="233"/>
        <v>0</v>
      </c>
      <c r="H261" s="193">
        <f t="shared" si="234"/>
        <v>0</v>
      </c>
      <c r="I261" s="192"/>
      <c r="J261" s="194">
        <f t="shared" si="238"/>
        <v>0</v>
      </c>
      <c r="K261" s="139"/>
      <c r="L261" s="139"/>
      <c r="M261" s="220"/>
      <c r="N261" s="22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13.0</v>
      </c>
      <c r="B262" s="192"/>
      <c r="C262" s="192"/>
      <c r="D262" s="192"/>
      <c r="E262" s="192"/>
      <c r="F262" s="192">
        <f t="shared" si="232"/>
        <v>1</v>
      </c>
      <c r="G262" s="192">
        <f t="shared" si="233"/>
        <v>0</v>
      </c>
      <c r="H262" s="193">
        <f t="shared" si="234"/>
        <v>0</v>
      </c>
      <c r="I262" s="192"/>
      <c r="J262" s="194">
        <f t="shared" si="238"/>
        <v>0</v>
      </c>
      <c r="K262" s="139"/>
      <c r="L262" s="139"/>
      <c r="M262" s="220"/>
      <c r="N262" s="220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14.0</v>
      </c>
      <c r="B263" s="192"/>
      <c r="C263" s="192"/>
      <c r="D263" s="192"/>
      <c r="E263" s="192"/>
      <c r="F263" s="192">
        <f t="shared" si="232"/>
        <v>1</v>
      </c>
      <c r="G263" s="192">
        <f t="shared" si="233"/>
        <v>0</v>
      </c>
      <c r="H263" s="193">
        <f t="shared" si="234"/>
        <v>0</v>
      </c>
      <c r="I263" s="192"/>
      <c r="J263" s="194">
        <f t="shared" si="238"/>
        <v>0</v>
      </c>
      <c r="K263" s="139"/>
      <c r="L263" s="139"/>
      <c r="M263" s="220"/>
      <c r="N263" s="220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customHeight="1">
      <c r="A264" s="160"/>
      <c r="B264" s="195"/>
      <c r="C264" s="195"/>
      <c r="D264" s="195"/>
      <c r="E264" s="195"/>
      <c r="F264" s="195"/>
      <c r="G264" s="195"/>
      <c r="H264" s="221" t="s">
        <v>38</v>
      </c>
      <c r="I264" s="195"/>
      <c r="J264" s="222">
        <f>SUM(J250:J263)</f>
        <v>0</v>
      </c>
      <c r="K264" s="139"/>
      <c r="L264" s="139"/>
      <c r="M264" s="139"/>
      <c r="N264" s="139"/>
      <c r="O264" s="139"/>
      <c r="P264" s="139"/>
      <c r="Q264" s="139"/>
      <c r="R264" s="141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74"/>
      <c r="B265" s="144"/>
      <c r="C265" s="144"/>
      <c r="D265" s="144"/>
      <c r="E265" s="144"/>
      <c r="F265" s="144"/>
      <c r="G265" s="144"/>
      <c r="H265" s="145"/>
      <c r="I265" s="144"/>
      <c r="J265" s="175"/>
      <c r="K265" s="139"/>
      <c r="L265" s="139"/>
      <c r="M265" s="139"/>
      <c r="N265" s="139"/>
      <c r="O265" s="139"/>
      <c r="P265" s="139"/>
      <c r="Q265" s="139"/>
      <c r="R265" s="141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 t="s">
        <v>39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223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42.0" customHeight="1">
      <c r="A270" s="177"/>
      <c r="B270" s="160" t="s">
        <v>12</v>
      </c>
      <c r="C270" s="178" t="s">
        <v>61</v>
      </c>
      <c r="D270" s="52"/>
      <c r="E270" s="53"/>
      <c r="F270" s="224"/>
      <c r="G270" s="224"/>
      <c r="H270" s="180" t="s">
        <v>14</v>
      </c>
      <c r="I270" s="225" t="s">
        <v>15</v>
      </c>
      <c r="J270" s="160" t="s">
        <v>16</v>
      </c>
      <c r="K270" s="139"/>
      <c r="L270" s="139"/>
      <c r="M270" s="139"/>
      <c r="N270" s="139"/>
      <c r="O270" s="139"/>
      <c r="P270" s="139"/>
      <c r="Q270" s="139"/>
      <c r="R270" s="223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1.0</v>
      </c>
      <c r="B271" s="182" t="s">
        <v>78</v>
      </c>
      <c r="C271" s="198"/>
      <c r="D271" s="198"/>
      <c r="E271" s="198"/>
      <c r="F271" s="198"/>
      <c r="G271" s="198"/>
      <c r="H271" s="226">
        <v>86.0</v>
      </c>
      <c r="I271" s="198">
        <v>1.0</v>
      </c>
      <c r="J271" s="194">
        <f t="shared" ref="J271:J303" si="239">+I271*H271</f>
        <v>86</v>
      </c>
      <c r="K271" s="177"/>
      <c r="L271" s="177"/>
      <c r="M271" s="177"/>
      <c r="N271" s="177"/>
      <c r="O271" s="177"/>
      <c r="P271" s="177"/>
      <c r="Q271" s="227"/>
      <c r="R271" s="223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2.0</v>
      </c>
      <c r="B272" s="192" t="s">
        <v>78</v>
      </c>
      <c r="C272" s="198"/>
      <c r="D272" s="198"/>
      <c r="E272" s="198"/>
      <c r="F272" s="198"/>
      <c r="G272" s="198"/>
      <c r="H272" s="226">
        <v>53.0</v>
      </c>
      <c r="I272" s="198">
        <v>1.0</v>
      </c>
      <c r="J272" s="194">
        <f t="shared" si="239"/>
        <v>53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3.0</v>
      </c>
      <c r="B273" s="182" t="s">
        <v>55</v>
      </c>
      <c r="C273" s="198"/>
      <c r="D273" s="198"/>
      <c r="E273" s="198"/>
      <c r="F273" s="198"/>
      <c r="G273" s="198"/>
      <c r="H273" s="226">
        <v>33.0</v>
      </c>
      <c r="I273" s="198">
        <v>1.0</v>
      </c>
      <c r="J273" s="194">
        <f t="shared" si="239"/>
        <v>33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4.0</v>
      </c>
      <c r="B274" s="192" t="s">
        <v>55</v>
      </c>
      <c r="C274" s="198"/>
      <c r="D274" s="198"/>
      <c r="E274" s="198"/>
      <c r="F274" s="198"/>
      <c r="G274" s="198"/>
      <c r="H274" s="226">
        <v>27.0</v>
      </c>
      <c r="I274" s="198">
        <v>1.0</v>
      </c>
      <c r="J274" s="194">
        <f t="shared" si="239"/>
        <v>27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5.0</v>
      </c>
      <c r="B275" s="182" t="s">
        <v>90</v>
      </c>
      <c r="C275" s="198"/>
      <c r="D275" s="198"/>
      <c r="E275" s="198"/>
      <c r="F275" s="198"/>
      <c r="G275" s="198"/>
      <c r="H275" s="226">
        <v>35.0</v>
      </c>
      <c r="I275" s="198">
        <v>1.0</v>
      </c>
      <c r="J275" s="194">
        <f t="shared" si="239"/>
        <v>35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6.0</v>
      </c>
      <c r="B276" s="192" t="s">
        <v>90</v>
      </c>
      <c r="C276" s="198"/>
      <c r="D276" s="198"/>
      <c r="E276" s="198"/>
      <c r="F276" s="198"/>
      <c r="G276" s="198"/>
      <c r="H276" s="226">
        <v>29.0</v>
      </c>
      <c r="I276" s="198">
        <v>1.0</v>
      </c>
      <c r="J276" s="194">
        <f t="shared" si="239"/>
        <v>29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7.0</v>
      </c>
      <c r="B277" s="182" t="s">
        <v>91</v>
      </c>
      <c r="C277" s="198"/>
      <c r="D277" s="198"/>
      <c r="E277" s="198"/>
      <c r="F277" s="198"/>
      <c r="G277" s="198"/>
      <c r="H277" s="226">
        <v>93.0</v>
      </c>
      <c r="I277" s="198">
        <v>1.0</v>
      </c>
      <c r="J277" s="194">
        <f t="shared" si="239"/>
        <v>93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8.0</v>
      </c>
      <c r="B278" s="192" t="s">
        <v>91</v>
      </c>
      <c r="C278" s="198"/>
      <c r="D278" s="198"/>
      <c r="E278" s="198"/>
      <c r="F278" s="198"/>
      <c r="G278" s="198"/>
      <c r="H278" s="226">
        <v>52.0</v>
      </c>
      <c r="I278" s="198">
        <v>1.0</v>
      </c>
      <c r="J278" s="194">
        <f t="shared" si="239"/>
        <v>52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11.0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9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12.0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9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13.0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9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14.0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9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15.0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9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16.0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9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17.0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9"/>
        <v>0</v>
      </c>
      <c r="K285" s="177"/>
      <c r="L285" s="177"/>
      <c r="M285" s="177"/>
      <c r="N285" s="177"/>
      <c r="O285" s="177"/>
      <c r="P285" s="177"/>
      <c r="Q285" s="227"/>
      <c r="R285" s="223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18.0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9"/>
        <v>0</v>
      </c>
      <c r="K286" s="177"/>
      <c r="L286" s="177"/>
      <c r="M286" s="177"/>
      <c r="N286" s="177"/>
      <c r="O286" s="177"/>
      <c r="P286" s="177"/>
      <c r="Q286" s="227"/>
      <c r="R286" s="223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19.0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9"/>
        <v>0</v>
      </c>
      <c r="K287" s="177"/>
      <c r="L287" s="177"/>
      <c r="M287" s="177"/>
      <c r="N287" s="177"/>
      <c r="O287" s="177"/>
      <c r="P287" s="177"/>
      <c r="Q287" s="227"/>
      <c r="R287" s="140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20.0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9"/>
        <v>0</v>
      </c>
      <c r="K288" s="177"/>
      <c r="L288" s="177"/>
      <c r="M288" s="177"/>
      <c r="N288" s="177"/>
      <c r="O288" s="177"/>
      <c r="P288" s="177"/>
      <c r="Q288" s="227"/>
      <c r="R288" s="223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21.0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39"/>
        <v>0</v>
      </c>
      <c r="K289" s="177"/>
      <c r="L289" s="177"/>
      <c r="M289" s="177"/>
      <c r="N289" s="177"/>
      <c r="O289" s="177"/>
      <c r="P289" s="177"/>
      <c r="Q289" s="227"/>
      <c r="R289" s="223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22.0</v>
      </c>
      <c r="B290" s="228"/>
      <c r="C290" s="198"/>
      <c r="D290" s="198"/>
      <c r="E290" s="198"/>
      <c r="F290" s="198"/>
      <c r="G290" s="198"/>
      <c r="H290" s="226"/>
      <c r="I290" s="198"/>
      <c r="J290" s="194">
        <f t="shared" si="239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23.0</v>
      </c>
      <c r="B291" s="228"/>
      <c r="C291" s="198"/>
      <c r="D291" s="198"/>
      <c r="E291" s="198"/>
      <c r="F291" s="198"/>
      <c r="G291" s="198"/>
      <c r="H291" s="226"/>
      <c r="I291" s="198"/>
      <c r="J291" s="194">
        <f t="shared" si="239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24.0</v>
      </c>
      <c r="B292" s="228"/>
      <c r="C292" s="198"/>
      <c r="D292" s="198"/>
      <c r="E292" s="198"/>
      <c r="F292" s="198"/>
      <c r="G292" s="198"/>
      <c r="H292" s="226"/>
      <c r="I292" s="198"/>
      <c r="J292" s="194">
        <f t="shared" si="239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25.0</v>
      </c>
      <c r="B293" s="228"/>
      <c r="C293" s="198"/>
      <c r="D293" s="198"/>
      <c r="E293" s="198"/>
      <c r="F293" s="198"/>
      <c r="G293" s="198"/>
      <c r="H293" s="226"/>
      <c r="I293" s="198"/>
      <c r="J293" s="194">
        <f t="shared" si="239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26.0</v>
      </c>
      <c r="B294" s="228"/>
      <c r="C294" s="198"/>
      <c r="D294" s="198"/>
      <c r="E294" s="198"/>
      <c r="F294" s="198"/>
      <c r="G294" s="198"/>
      <c r="H294" s="226"/>
      <c r="I294" s="198"/>
      <c r="J294" s="194">
        <f t="shared" si="239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27.0</v>
      </c>
      <c r="B295" s="228"/>
      <c r="C295" s="198"/>
      <c r="D295" s="198"/>
      <c r="E295" s="198"/>
      <c r="F295" s="198"/>
      <c r="G295" s="198"/>
      <c r="H295" s="198"/>
      <c r="I295" s="198"/>
      <c r="J295" s="194">
        <f t="shared" si="239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28.0</v>
      </c>
      <c r="B296" s="228"/>
      <c r="C296" s="198"/>
      <c r="D296" s="198"/>
      <c r="E296" s="198"/>
      <c r="F296" s="198"/>
      <c r="G296" s="198"/>
      <c r="H296" s="198"/>
      <c r="I296" s="198"/>
      <c r="J296" s="194">
        <f t="shared" si="239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29.0</v>
      </c>
      <c r="B297" s="229"/>
      <c r="C297" s="198"/>
      <c r="D297" s="198"/>
      <c r="E297" s="198"/>
      <c r="F297" s="198"/>
      <c r="G297" s="198"/>
      <c r="H297" s="198"/>
      <c r="I297" s="198"/>
      <c r="J297" s="194">
        <f t="shared" si="239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30.0</v>
      </c>
      <c r="B298" s="229"/>
      <c r="C298" s="198"/>
      <c r="D298" s="198"/>
      <c r="E298" s="198"/>
      <c r="F298" s="198"/>
      <c r="G298" s="198"/>
      <c r="H298" s="226"/>
      <c r="I298" s="198"/>
      <c r="J298" s="194">
        <f t="shared" si="239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31.0</v>
      </c>
      <c r="B299" s="217"/>
      <c r="C299" s="198"/>
      <c r="D299" s="198"/>
      <c r="E299" s="198"/>
      <c r="F299" s="198"/>
      <c r="G299" s="198"/>
      <c r="H299" s="226"/>
      <c r="I299" s="198"/>
      <c r="J299" s="194">
        <f t="shared" si="239"/>
        <v>0</v>
      </c>
      <c r="K299" s="177"/>
      <c r="L299" s="177"/>
      <c r="M299" s="177"/>
      <c r="N299" s="177"/>
      <c r="O299" s="177"/>
      <c r="P299" s="177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32.0</v>
      </c>
      <c r="B300" s="217"/>
      <c r="C300" s="160"/>
      <c r="D300" s="160"/>
      <c r="E300" s="160"/>
      <c r="F300" s="160"/>
      <c r="G300" s="160"/>
      <c r="H300" s="160"/>
      <c r="I300" s="160"/>
      <c r="J300" s="194">
        <f t="shared" si="239"/>
        <v>0</v>
      </c>
      <c r="K300" s="177"/>
      <c r="L300" s="177"/>
      <c r="M300" s="177"/>
      <c r="N300" s="177"/>
      <c r="O300" s="177"/>
      <c r="P300" s="177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33.0</v>
      </c>
      <c r="B301" s="229"/>
      <c r="C301" s="160"/>
      <c r="D301" s="160"/>
      <c r="E301" s="160"/>
      <c r="F301" s="160"/>
      <c r="G301" s="160"/>
      <c r="H301" s="160"/>
      <c r="I301" s="160"/>
      <c r="J301" s="194">
        <f t="shared" si="239"/>
        <v>0</v>
      </c>
      <c r="K301" s="177"/>
      <c r="L301" s="177"/>
      <c r="M301" s="177"/>
      <c r="N301" s="177"/>
      <c r="O301" s="177"/>
      <c r="P301" s="177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34.0</v>
      </c>
      <c r="B302" s="230"/>
      <c r="C302" s="160"/>
      <c r="D302" s="160"/>
      <c r="E302" s="160"/>
      <c r="F302" s="160"/>
      <c r="G302" s="160"/>
      <c r="H302" s="160"/>
      <c r="I302" s="160"/>
      <c r="J302" s="194">
        <f t="shared" si="239"/>
        <v>0</v>
      </c>
      <c r="K302" s="177"/>
      <c r="L302" s="177"/>
      <c r="M302" s="177"/>
      <c r="N302" s="177"/>
      <c r="O302" s="177"/>
      <c r="P302" s="177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35.0</v>
      </c>
      <c r="B303" s="231"/>
      <c r="C303" s="160"/>
      <c r="D303" s="160"/>
      <c r="E303" s="160"/>
      <c r="F303" s="160"/>
      <c r="G303" s="160"/>
      <c r="H303" s="160"/>
      <c r="I303" s="160"/>
      <c r="J303" s="194">
        <f t="shared" si="239"/>
        <v>0</v>
      </c>
      <c r="K303" s="177"/>
      <c r="L303" s="177"/>
      <c r="M303" s="177"/>
      <c r="N303" s="177"/>
      <c r="O303" s="177"/>
      <c r="P303" s="177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 t="s">
        <v>38</v>
      </c>
      <c r="I304" s="139"/>
      <c r="J304" s="232">
        <f>SUM(J271:J303)</f>
        <v>408</v>
      </c>
      <c r="K304" s="233"/>
      <c r="L304" s="233"/>
      <c r="M304" s="233"/>
      <c r="N304" s="233"/>
      <c r="O304" s="233"/>
      <c r="P304" s="233"/>
      <c r="Q304" s="233"/>
      <c r="R304" s="139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44"/>
      <c r="B305" s="144"/>
      <c r="C305" s="144"/>
      <c r="D305" s="144"/>
      <c r="E305" s="144"/>
      <c r="F305" s="144"/>
      <c r="G305" s="144"/>
      <c r="H305" s="145"/>
      <c r="I305" s="173"/>
      <c r="J305" s="204">
        <f>+J304*60%</f>
        <v>244.8</v>
      </c>
      <c r="K305" s="204"/>
      <c r="L305" s="204"/>
      <c r="M305" s="204"/>
      <c r="N305" s="204"/>
      <c r="O305" s="204"/>
      <c r="P305" s="204"/>
      <c r="Q305" s="204">
        <f>+J304*40%</f>
        <v>163.2</v>
      </c>
      <c r="R305" s="139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9.5" customHeight="1">
      <c r="A308" s="234" t="s">
        <v>41</v>
      </c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23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57.0" customHeight="1">
      <c r="A309" s="235"/>
      <c r="B309" s="236" t="s">
        <v>42</v>
      </c>
      <c r="C309" s="236" t="s">
        <v>43</v>
      </c>
      <c r="D309" s="236" t="s">
        <v>44</v>
      </c>
      <c r="E309" s="236" t="s">
        <v>45</v>
      </c>
      <c r="F309" s="236"/>
      <c r="G309" s="236"/>
      <c r="H309" s="237" t="s">
        <v>46</v>
      </c>
      <c r="I309" s="238" t="s">
        <v>47</v>
      </c>
      <c r="J309" s="139"/>
      <c r="K309" s="139"/>
      <c r="L309" s="139"/>
      <c r="M309" s="139"/>
      <c r="N309" s="139"/>
      <c r="O309" s="139"/>
      <c r="P309" s="139"/>
      <c r="Q309" s="139"/>
      <c r="R309" s="141"/>
      <c r="S309" s="223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18.75" customHeight="1">
      <c r="A310" s="239" t="s">
        <v>48</v>
      </c>
      <c r="B310" s="240">
        <f>+E25</f>
        <v>46811.4148</v>
      </c>
      <c r="C310" s="241">
        <f>+J243</f>
        <v>38437.22167</v>
      </c>
      <c r="D310" s="241">
        <f>+J264</f>
        <v>0</v>
      </c>
      <c r="E310" s="242">
        <f>J305</f>
        <v>244.8</v>
      </c>
      <c r="F310" s="242"/>
      <c r="G310" s="242"/>
      <c r="H310" s="243">
        <f>+I25</f>
        <v>3218.349179</v>
      </c>
      <c r="I310" s="244">
        <f>+B310-C310-D310-E310-H310</f>
        <v>4911.043949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23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9.5" customHeight="1">
      <c r="A311" s="245" t="s">
        <v>49</v>
      </c>
      <c r="B311" s="246"/>
      <c r="C311" s="247">
        <f>+C310/B310</f>
        <v>0.8211078823</v>
      </c>
      <c r="D311" s="247">
        <f>+D310/B310</f>
        <v>0</v>
      </c>
      <c r="E311" s="247">
        <f>+E310/B310</f>
        <v>0.005229493726</v>
      </c>
      <c r="F311" s="247"/>
      <c r="G311" s="247"/>
      <c r="H311" s="248">
        <f>+H310/B310</f>
        <v>0.06875137598</v>
      </c>
      <c r="I311" s="249">
        <f>+I310/B310</f>
        <v>0.104911248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23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163"/>
      <c r="B312" s="220"/>
      <c r="C312" s="250"/>
      <c r="D312" s="250"/>
      <c r="E312" s="250"/>
      <c r="F312" s="250"/>
      <c r="G312" s="250"/>
      <c r="H312" s="251"/>
      <c r="I312" s="252"/>
      <c r="J312" s="139"/>
      <c r="K312" s="139"/>
      <c r="L312" s="139"/>
      <c r="M312" s="139"/>
      <c r="N312" s="139"/>
      <c r="O312" s="139"/>
      <c r="P312" s="139"/>
      <c r="Q312" s="139"/>
      <c r="R312" s="141"/>
      <c r="S312" s="223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253"/>
      <c r="B313" s="254"/>
      <c r="C313" s="254"/>
      <c r="D313" s="254" t="s">
        <v>50</v>
      </c>
      <c r="E313" s="254" t="s">
        <v>48</v>
      </c>
      <c r="F313" s="254"/>
      <c r="G313" s="254"/>
      <c r="H313" s="255">
        <f>+D310+E310+H310+I310</f>
        <v>8374.193128</v>
      </c>
      <c r="I313" s="256"/>
      <c r="J313" s="139"/>
      <c r="K313" s="139"/>
      <c r="L313" s="139"/>
      <c r="M313" s="139"/>
      <c r="N313" s="139"/>
      <c r="O313" s="139"/>
      <c r="P313" s="139"/>
      <c r="Q313" s="139"/>
      <c r="R313" s="141"/>
      <c r="S313" s="140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57"/>
      <c r="B314" s="139"/>
      <c r="C314" s="139"/>
      <c r="D314" s="139"/>
      <c r="E314" s="139" t="s">
        <v>49</v>
      </c>
      <c r="F314" s="139"/>
      <c r="G314" s="139"/>
      <c r="H314" s="251">
        <f>+H313/B310</f>
        <v>0.1788921177</v>
      </c>
      <c r="I314" s="25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57"/>
      <c r="B315" s="139"/>
      <c r="C315" s="139" t="s">
        <v>51</v>
      </c>
      <c r="D315" s="139"/>
      <c r="E315" s="139"/>
      <c r="F315" s="139"/>
      <c r="G315" s="139"/>
      <c r="H315" s="140"/>
      <c r="I315" s="258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57"/>
      <c r="B316" s="139"/>
      <c r="C316" s="139"/>
      <c r="D316" s="139" t="s">
        <v>52</v>
      </c>
      <c r="E316" s="139"/>
      <c r="F316" s="139"/>
      <c r="G316" s="139"/>
      <c r="H316" s="140">
        <f>+H315*(H313-H310)</f>
        <v>0</v>
      </c>
      <c r="I316" s="258"/>
      <c r="J316" s="139"/>
      <c r="K316" s="139"/>
      <c r="L316" s="139"/>
      <c r="M316" s="139"/>
      <c r="N316" s="139"/>
      <c r="O316" s="139"/>
      <c r="P316" s="139"/>
      <c r="Q316" s="139"/>
      <c r="R316" s="141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59"/>
      <c r="B317" s="260"/>
      <c r="C317" s="260"/>
      <c r="D317" s="260"/>
      <c r="E317" s="260"/>
      <c r="F317" s="260"/>
      <c r="G317" s="260"/>
      <c r="H317" s="261"/>
      <c r="I317" s="262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8.75" customHeight="1">
      <c r="A318" s="139"/>
      <c r="B318" s="139"/>
      <c r="C318" s="139"/>
      <c r="D318" s="139"/>
      <c r="E318" s="139"/>
      <c r="F318" s="139"/>
      <c r="G318" s="139"/>
      <c r="H318" s="140"/>
      <c r="I318" s="139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3"/>
      <c r="I512" s="7"/>
      <c r="J512" s="7"/>
      <c r="K512" s="7"/>
      <c r="L512" s="7"/>
      <c r="M512" s="7"/>
      <c r="N512" s="7"/>
      <c r="O512" s="7"/>
      <c r="P512" s="7"/>
      <c r="Q512" s="7"/>
      <c r="R512" s="264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3"/>
      <c r="I513" s="7"/>
      <c r="J513" s="7"/>
      <c r="K513" s="7"/>
      <c r="L513" s="7"/>
      <c r="M513" s="7"/>
      <c r="N513" s="7"/>
      <c r="O513" s="7"/>
      <c r="P513" s="7"/>
      <c r="Q513" s="7"/>
      <c r="R513" s="264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3"/>
      <c r="I514" s="7"/>
      <c r="J514" s="7"/>
      <c r="K514" s="7"/>
      <c r="L514" s="7"/>
      <c r="M514" s="7"/>
      <c r="N514" s="7"/>
      <c r="O514" s="7"/>
      <c r="P514" s="7"/>
      <c r="Q514" s="7"/>
      <c r="R514" s="264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3"/>
      <c r="I515" s="7"/>
      <c r="J515" s="7"/>
      <c r="K515" s="7"/>
      <c r="L515" s="7"/>
      <c r="M515" s="7"/>
      <c r="N515" s="7"/>
      <c r="O515" s="7"/>
      <c r="P515" s="7"/>
      <c r="Q515" s="7"/>
      <c r="R515" s="264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3"/>
      <c r="I516" s="7"/>
      <c r="J516" s="7"/>
      <c r="K516" s="7"/>
      <c r="L516" s="7"/>
      <c r="M516" s="7"/>
      <c r="N516" s="7"/>
      <c r="O516" s="7"/>
      <c r="P516" s="7"/>
      <c r="Q516" s="7"/>
      <c r="R516" s="264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9:E249"/>
    <mergeCell ref="C270:E27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25.5</v>
      </c>
      <c r="D8" s="155">
        <v>0.0751</v>
      </c>
      <c r="E8" s="156">
        <f>241.868*24</f>
        <v>5804.832</v>
      </c>
      <c r="F8" s="156"/>
      <c r="G8" s="156"/>
      <c r="H8" s="157">
        <v>24.0</v>
      </c>
      <c r="I8" s="158">
        <f t="shared" ref="I8:I24" si="1">+D8*E8</f>
        <v>435.9428832</v>
      </c>
      <c r="J8" s="159">
        <f t="shared" ref="J8:J24" si="2">E8-I8</f>
        <v>5368.889117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222.39*69</f>
        <v>15344.91</v>
      </c>
      <c r="F9" s="156"/>
      <c r="G9" s="156"/>
      <c r="H9" s="157">
        <v>69.0</v>
      </c>
      <c r="I9" s="158">
        <f t="shared" si="1"/>
        <v>1235.265255</v>
      </c>
      <c r="J9" s="159">
        <f t="shared" si="2"/>
        <v>14109.64475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85</v>
      </c>
      <c r="C10" s="154">
        <v>20.5</v>
      </c>
      <c r="D10" s="155">
        <v>0.0846</v>
      </c>
      <c r="E10" s="156">
        <f>217.138*27</f>
        <v>5862.726</v>
      </c>
      <c r="F10" s="156"/>
      <c r="G10" s="156"/>
      <c r="H10" s="157">
        <v>27.0</v>
      </c>
      <c r="I10" s="158">
        <f t="shared" si="1"/>
        <v>495.9866196</v>
      </c>
      <c r="J10" s="159">
        <f t="shared" si="2"/>
        <v>5366.73938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79</v>
      </c>
      <c r="C11" s="154">
        <v>16.5</v>
      </c>
      <c r="D11" s="161">
        <v>0.1057</v>
      </c>
      <c r="E11" s="162">
        <f>187.67*21.3</f>
        <v>3997.371</v>
      </c>
      <c r="F11" s="162"/>
      <c r="G11" s="162"/>
      <c r="H11" s="157">
        <v>21.3</v>
      </c>
      <c r="I11" s="158">
        <f t="shared" si="1"/>
        <v>422.5221147</v>
      </c>
      <c r="J11" s="159">
        <f t="shared" si="2"/>
        <v>3574.848885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83</v>
      </c>
      <c r="C12" s="160">
        <v>30.5</v>
      </c>
      <c r="D12" s="161">
        <v>0.0469</v>
      </c>
      <c r="E12" s="162">
        <f>284.45*14.6</f>
        <v>4152.97</v>
      </c>
      <c r="F12" s="162"/>
      <c r="G12" s="162"/>
      <c r="H12" s="157">
        <v>14.6</v>
      </c>
      <c r="I12" s="158">
        <f t="shared" si="1"/>
        <v>194.774293</v>
      </c>
      <c r="J12" s="159">
        <f t="shared" si="2"/>
        <v>3958.195707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70</v>
      </c>
      <c r="C13" s="160">
        <v>18.5</v>
      </c>
      <c r="D13" s="161">
        <v>0.1172</v>
      </c>
      <c r="E13" s="162">
        <f>179.663*20.2</f>
        <v>3629.1926</v>
      </c>
      <c r="F13" s="162"/>
      <c r="G13" s="162"/>
      <c r="H13" s="157">
        <v>20.2</v>
      </c>
      <c r="I13" s="158">
        <f t="shared" si="1"/>
        <v>425.3413727</v>
      </c>
      <c r="J13" s="159">
        <f t="shared" si="2"/>
        <v>3203.851227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38792.0016</v>
      </c>
      <c r="F25" s="168"/>
      <c r="G25" s="168"/>
      <c r="H25" s="169"/>
      <c r="I25" s="170">
        <f t="shared" ref="I25:J25" si="3">SUM(I8:I24)</f>
        <v>3209.832538</v>
      </c>
      <c r="J25" s="171">
        <f t="shared" si="3"/>
        <v>35582.16906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94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66</v>
      </c>
      <c r="C32" s="183">
        <v>93.0</v>
      </c>
      <c r="D32" s="183">
        <v>205.0</v>
      </c>
      <c r="E32" s="183">
        <v>188.0</v>
      </c>
      <c r="F32" s="183">
        <f t="shared" ref="F32:F80" si="5">VALUE(IF(RIGHT(B32, 1)="%", RIGHT(B32, 3), 0))</f>
        <v>0</v>
      </c>
      <c r="G32" s="183">
        <f t="shared" ref="G32:G80" si="6">+R32*C32/100*D32/100*E32/100</f>
        <v>93.18972</v>
      </c>
      <c r="H32" s="184">
        <f t="shared" ref="H32:H80" si="7">IF(F32=0, G32, F32*G32)</f>
        <v>93.18972</v>
      </c>
      <c r="I32" s="183">
        <v>1.0</v>
      </c>
      <c r="J32" s="185">
        <f t="shared" ref="J32:J80" si="8">+I32*H32</f>
        <v>93.18972</v>
      </c>
      <c r="K32" s="186"/>
      <c r="L32" s="187">
        <f>D32*25.4/1000</f>
        <v>5.207</v>
      </c>
      <c r="M32" s="188">
        <f>+I32</f>
        <v>1</v>
      </c>
      <c r="N32" s="188">
        <f>M32*L32</f>
        <v>5.207</v>
      </c>
      <c r="O32" s="186"/>
      <c r="P32" s="186"/>
      <c r="Q32" s="187">
        <v>106.0</v>
      </c>
      <c r="R32" s="189">
        <v>26.0</v>
      </c>
      <c r="S32" s="177">
        <f t="shared" ref="S32:S81" si="9">E32/100</f>
        <v>1.88</v>
      </c>
      <c r="T32" s="160">
        <f t="shared" ref="T32:T81" si="10">I32</f>
        <v>1</v>
      </c>
      <c r="U32" s="160">
        <f t="shared" ref="U32:U81" si="11">T32*S32</f>
        <v>1.88</v>
      </c>
      <c r="V32" s="190">
        <f t="shared" ref="V32:V80" si="12">R32*C32/100*D32/100*E32/100</f>
        <v>93.18972</v>
      </c>
      <c r="W32" s="177">
        <f t="shared" ref="W32:X32" si="4">C32/100</f>
        <v>0.93</v>
      </c>
      <c r="X32" s="177">
        <f t="shared" si="4"/>
        <v>2.05</v>
      </c>
      <c r="Y32" s="177">
        <f t="shared" ref="Y32:Y81" si="14">U32</f>
        <v>1.88</v>
      </c>
      <c r="Z32" s="191">
        <f t="shared" ref="Z32:Z81" si="15">W32*X32*Y32</f>
        <v>3.58422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66</v>
      </c>
      <c r="C33" s="192">
        <v>75.0</v>
      </c>
      <c r="D33" s="192">
        <v>206.0</v>
      </c>
      <c r="E33" s="192">
        <v>143.0</v>
      </c>
      <c r="F33" s="192">
        <f t="shared" si="5"/>
        <v>0</v>
      </c>
      <c r="G33" s="192">
        <f t="shared" si="6"/>
        <v>57.4431</v>
      </c>
      <c r="H33" s="193">
        <f t="shared" si="7"/>
        <v>57.4431</v>
      </c>
      <c r="I33" s="192">
        <v>1.0</v>
      </c>
      <c r="J33" s="194">
        <f t="shared" si="8"/>
        <v>57.4431</v>
      </c>
      <c r="K33" s="139"/>
      <c r="L33" s="177"/>
      <c r="M33" s="160"/>
      <c r="N33" s="160"/>
      <c r="O33" s="139"/>
      <c r="P33" s="139"/>
      <c r="Q33" s="177">
        <v>75.0</v>
      </c>
      <c r="R33" s="189">
        <v>26.0</v>
      </c>
      <c r="S33" s="177">
        <f t="shared" si="9"/>
        <v>1.43</v>
      </c>
      <c r="T33" s="160">
        <f t="shared" si="10"/>
        <v>1</v>
      </c>
      <c r="U33" s="160">
        <f t="shared" si="11"/>
        <v>1.43</v>
      </c>
      <c r="V33" s="190">
        <f t="shared" si="12"/>
        <v>57.4431</v>
      </c>
      <c r="W33" s="177">
        <f t="shared" ref="W33:X33" si="13">C33/100</f>
        <v>0.75</v>
      </c>
      <c r="X33" s="177">
        <f t="shared" si="13"/>
        <v>2.06</v>
      </c>
      <c r="Y33" s="177">
        <f t="shared" si="14"/>
        <v>1.43</v>
      </c>
      <c r="Z33" s="191">
        <f t="shared" si="15"/>
        <v>2.20935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66</v>
      </c>
      <c r="C34" s="192">
        <v>98.0</v>
      </c>
      <c r="D34" s="192">
        <v>205.0</v>
      </c>
      <c r="E34" s="192">
        <v>196.0</v>
      </c>
      <c r="F34" s="192">
        <f t="shared" si="5"/>
        <v>0</v>
      </c>
      <c r="G34" s="192">
        <f t="shared" si="6"/>
        <v>102.37864</v>
      </c>
      <c r="H34" s="193">
        <f t="shared" si="7"/>
        <v>102.37864</v>
      </c>
      <c r="I34" s="192">
        <v>1.0</v>
      </c>
      <c r="J34" s="194">
        <f t="shared" si="8"/>
        <v>102.37864</v>
      </c>
      <c r="K34" s="139"/>
      <c r="L34" s="177">
        <f t="shared" ref="L34:L56" si="17">D34*25.4/1000</f>
        <v>5.207</v>
      </c>
      <c r="M34" s="160">
        <f t="shared" ref="M34:M69" si="18">+I34</f>
        <v>1</v>
      </c>
      <c r="N34" s="160">
        <f t="shared" ref="N34:N56" si="19">M34*L34</f>
        <v>5.207</v>
      </c>
      <c r="O34" s="139"/>
      <c r="P34" s="139"/>
      <c r="Q34" s="177">
        <v>111.0</v>
      </c>
      <c r="R34" s="189">
        <v>26.0</v>
      </c>
      <c r="S34" s="177">
        <f t="shared" si="9"/>
        <v>1.96</v>
      </c>
      <c r="T34" s="160">
        <f t="shared" si="10"/>
        <v>1</v>
      </c>
      <c r="U34" s="160">
        <f t="shared" si="11"/>
        <v>1.96</v>
      </c>
      <c r="V34" s="190">
        <f t="shared" si="12"/>
        <v>102.37864</v>
      </c>
      <c r="W34" s="177">
        <f t="shared" ref="W34:X34" si="16">C34/100</f>
        <v>0.98</v>
      </c>
      <c r="X34" s="177">
        <f t="shared" si="16"/>
        <v>2.05</v>
      </c>
      <c r="Y34" s="177">
        <f t="shared" si="14"/>
        <v>1.96</v>
      </c>
      <c r="Z34" s="191">
        <f t="shared" si="15"/>
        <v>3.93764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66</v>
      </c>
      <c r="C35" s="192">
        <v>103.0</v>
      </c>
      <c r="D35" s="192">
        <v>206.0</v>
      </c>
      <c r="E35" s="192">
        <v>82.0</v>
      </c>
      <c r="F35" s="192">
        <f t="shared" si="5"/>
        <v>0</v>
      </c>
      <c r="G35" s="192">
        <f t="shared" si="6"/>
        <v>45.236776</v>
      </c>
      <c r="H35" s="193">
        <f t="shared" si="7"/>
        <v>45.236776</v>
      </c>
      <c r="I35" s="192">
        <v>1.0</v>
      </c>
      <c r="J35" s="194">
        <f t="shared" si="8"/>
        <v>45.236776</v>
      </c>
      <c r="K35" s="139"/>
      <c r="L35" s="177">
        <f t="shared" si="17"/>
        <v>5.2324</v>
      </c>
      <c r="M35" s="160">
        <f t="shared" si="18"/>
        <v>1</v>
      </c>
      <c r="N35" s="160">
        <f t="shared" si="19"/>
        <v>5.2324</v>
      </c>
      <c r="O35" s="139"/>
      <c r="P35" s="139"/>
      <c r="Q35" s="177">
        <v>70.0</v>
      </c>
      <c r="R35" s="189">
        <v>26.0</v>
      </c>
      <c r="S35" s="177">
        <f t="shared" si="9"/>
        <v>0.82</v>
      </c>
      <c r="T35" s="160">
        <f t="shared" si="10"/>
        <v>1</v>
      </c>
      <c r="U35" s="160">
        <f t="shared" si="11"/>
        <v>0.82</v>
      </c>
      <c r="V35" s="190">
        <f t="shared" si="12"/>
        <v>45.236776</v>
      </c>
      <c r="W35" s="177">
        <f t="shared" ref="W35:X35" si="20">C35/100</f>
        <v>1.03</v>
      </c>
      <c r="X35" s="177">
        <f t="shared" si="20"/>
        <v>2.06</v>
      </c>
      <c r="Y35" s="177">
        <f t="shared" si="14"/>
        <v>0.82</v>
      </c>
      <c r="Z35" s="191">
        <f t="shared" si="15"/>
        <v>1.739876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66</v>
      </c>
      <c r="C36" s="192">
        <v>104.0</v>
      </c>
      <c r="D36" s="192">
        <v>205.0</v>
      </c>
      <c r="E36" s="192">
        <v>56.0</v>
      </c>
      <c r="F36" s="192">
        <f t="shared" si="5"/>
        <v>0</v>
      </c>
      <c r="G36" s="192">
        <f t="shared" si="6"/>
        <v>31.04192</v>
      </c>
      <c r="H36" s="193">
        <f t="shared" si="7"/>
        <v>31.04192</v>
      </c>
      <c r="I36" s="192">
        <v>1.0</v>
      </c>
      <c r="J36" s="194">
        <f t="shared" si="8"/>
        <v>31.04192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41.0</v>
      </c>
      <c r="R36" s="189">
        <v>26.0</v>
      </c>
      <c r="S36" s="177">
        <f t="shared" si="9"/>
        <v>0.56</v>
      </c>
      <c r="T36" s="160">
        <f t="shared" si="10"/>
        <v>1</v>
      </c>
      <c r="U36" s="160">
        <f t="shared" si="11"/>
        <v>0.56</v>
      </c>
      <c r="V36" s="190">
        <f t="shared" si="12"/>
        <v>31.04192</v>
      </c>
      <c r="W36" s="177">
        <f t="shared" ref="W36:X36" si="21">C36/100</f>
        <v>1.04</v>
      </c>
      <c r="X36" s="177">
        <f t="shared" si="21"/>
        <v>2.05</v>
      </c>
      <c r="Y36" s="177">
        <f t="shared" si="14"/>
        <v>0.56</v>
      </c>
      <c r="Z36" s="191">
        <f t="shared" si="15"/>
        <v>1.19392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66</v>
      </c>
      <c r="C37" s="192">
        <v>107.0</v>
      </c>
      <c r="D37" s="192">
        <v>204.0</v>
      </c>
      <c r="E37" s="192">
        <v>2871.0</v>
      </c>
      <c r="F37" s="192">
        <f t="shared" si="5"/>
        <v>0</v>
      </c>
      <c r="G37" s="192">
        <f t="shared" si="6"/>
        <v>1629.372888</v>
      </c>
      <c r="H37" s="193">
        <f t="shared" si="7"/>
        <v>1629.372888</v>
      </c>
      <c r="I37" s="192">
        <v>1.0</v>
      </c>
      <c r="J37" s="194">
        <f t="shared" si="8"/>
        <v>1629.372888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1650.0</v>
      </c>
      <c r="R37" s="189">
        <v>26.0</v>
      </c>
      <c r="S37" s="177">
        <f t="shared" si="9"/>
        <v>28.71</v>
      </c>
      <c r="T37" s="160">
        <f t="shared" si="10"/>
        <v>1</v>
      </c>
      <c r="U37" s="160">
        <f t="shared" si="11"/>
        <v>28.71</v>
      </c>
      <c r="V37" s="190">
        <f t="shared" si="12"/>
        <v>1629.372888</v>
      </c>
      <c r="W37" s="177">
        <f t="shared" ref="W37:X37" si="22">C37/100</f>
        <v>1.07</v>
      </c>
      <c r="X37" s="177">
        <f t="shared" si="22"/>
        <v>2.04</v>
      </c>
      <c r="Y37" s="177">
        <f t="shared" si="14"/>
        <v>28.71</v>
      </c>
      <c r="Z37" s="191">
        <f t="shared" si="15"/>
        <v>62.668188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66</v>
      </c>
      <c r="C38" s="192">
        <v>105.0</v>
      </c>
      <c r="D38" s="192">
        <v>204.0</v>
      </c>
      <c r="E38" s="192">
        <v>2861.0</v>
      </c>
      <c r="F38" s="192">
        <f t="shared" si="5"/>
        <v>0</v>
      </c>
      <c r="G38" s="192">
        <f t="shared" si="6"/>
        <v>1593.34812</v>
      </c>
      <c r="H38" s="193">
        <f t="shared" si="7"/>
        <v>1593.34812</v>
      </c>
      <c r="I38" s="192">
        <v>1.0</v>
      </c>
      <c r="J38" s="194">
        <f t="shared" si="8"/>
        <v>1593.34812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1650.0</v>
      </c>
      <c r="R38" s="189">
        <v>26.0</v>
      </c>
      <c r="S38" s="177">
        <f t="shared" si="9"/>
        <v>28.61</v>
      </c>
      <c r="T38" s="160">
        <f t="shared" si="10"/>
        <v>1</v>
      </c>
      <c r="U38" s="160">
        <f t="shared" si="11"/>
        <v>28.61</v>
      </c>
      <c r="V38" s="190">
        <f t="shared" si="12"/>
        <v>1593.34812</v>
      </c>
      <c r="W38" s="177">
        <f t="shared" ref="W38:X38" si="23">C38/100</f>
        <v>1.05</v>
      </c>
      <c r="X38" s="177">
        <f t="shared" si="23"/>
        <v>2.04</v>
      </c>
      <c r="Y38" s="177">
        <f t="shared" si="14"/>
        <v>28.61</v>
      </c>
      <c r="Z38" s="191">
        <f t="shared" si="15"/>
        <v>61.28262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66</v>
      </c>
      <c r="C39" s="192">
        <v>104.0</v>
      </c>
      <c r="D39" s="192">
        <v>204.0</v>
      </c>
      <c r="E39" s="192">
        <v>2875.0</v>
      </c>
      <c r="F39" s="192">
        <f t="shared" si="5"/>
        <v>0</v>
      </c>
      <c r="G39" s="192">
        <f t="shared" si="6"/>
        <v>1585.896</v>
      </c>
      <c r="H39" s="193">
        <f t="shared" si="7"/>
        <v>1585.896</v>
      </c>
      <c r="I39" s="192">
        <v>1.0</v>
      </c>
      <c r="J39" s="194">
        <f t="shared" si="8"/>
        <v>1585.896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1650.0</v>
      </c>
      <c r="R39" s="189">
        <v>26.0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1585.896</v>
      </c>
      <c r="W39" s="177">
        <f t="shared" ref="W39:X39" si="24">C39/100</f>
        <v>1.04</v>
      </c>
      <c r="X39" s="177">
        <f t="shared" si="24"/>
        <v>2.04</v>
      </c>
      <c r="Y39" s="177">
        <f t="shared" si="14"/>
        <v>28.75</v>
      </c>
      <c r="Z39" s="191">
        <f t="shared" si="15"/>
        <v>60.996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82" t="s">
        <v>55</v>
      </c>
      <c r="C40" s="183">
        <v>77.0</v>
      </c>
      <c r="D40" s="183">
        <v>204.0</v>
      </c>
      <c r="E40" s="183">
        <v>185.0</v>
      </c>
      <c r="F40" s="183">
        <f t="shared" si="5"/>
        <v>0</v>
      </c>
      <c r="G40" s="183">
        <f t="shared" si="6"/>
        <v>65.38455</v>
      </c>
      <c r="H40" s="184">
        <f t="shared" si="7"/>
        <v>65.38455</v>
      </c>
      <c r="I40" s="183">
        <v>1.0</v>
      </c>
      <c r="J40" s="185">
        <f t="shared" si="8"/>
        <v>65.38455</v>
      </c>
      <c r="K40" s="186"/>
      <c r="L40" s="187">
        <f t="shared" si="17"/>
        <v>5.1816</v>
      </c>
      <c r="M40" s="188">
        <f t="shared" si="18"/>
        <v>1</v>
      </c>
      <c r="N40" s="188">
        <f t="shared" si="19"/>
        <v>5.1816</v>
      </c>
      <c r="O40" s="186"/>
      <c r="P40" s="186"/>
      <c r="Q40" s="187">
        <v>82.0</v>
      </c>
      <c r="R40" s="189">
        <v>22.5</v>
      </c>
      <c r="S40" s="177">
        <f t="shared" si="9"/>
        <v>1.85</v>
      </c>
      <c r="T40" s="160">
        <f t="shared" si="10"/>
        <v>1</v>
      </c>
      <c r="U40" s="160">
        <f t="shared" si="11"/>
        <v>1.85</v>
      </c>
      <c r="V40" s="190">
        <f t="shared" si="12"/>
        <v>65.38455</v>
      </c>
      <c r="W40" s="177">
        <f t="shared" ref="W40:X40" si="25">C40/100</f>
        <v>0.77</v>
      </c>
      <c r="X40" s="177">
        <f t="shared" si="25"/>
        <v>2.04</v>
      </c>
      <c r="Y40" s="177">
        <f t="shared" si="14"/>
        <v>1.85</v>
      </c>
      <c r="Z40" s="191">
        <f t="shared" si="15"/>
        <v>2.90598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55</v>
      </c>
      <c r="C41" s="192">
        <v>82.0</v>
      </c>
      <c r="D41" s="192">
        <v>203.0</v>
      </c>
      <c r="E41" s="192">
        <v>133.0</v>
      </c>
      <c r="F41" s="192">
        <f t="shared" si="5"/>
        <v>0</v>
      </c>
      <c r="G41" s="192">
        <f t="shared" si="6"/>
        <v>49.813155</v>
      </c>
      <c r="H41" s="193">
        <f t="shared" si="7"/>
        <v>49.813155</v>
      </c>
      <c r="I41" s="192">
        <v>1.0</v>
      </c>
      <c r="J41" s="194">
        <f t="shared" si="8"/>
        <v>49.813155</v>
      </c>
      <c r="K41" s="139"/>
      <c r="L41" s="177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7">
        <v>58.0</v>
      </c>
      <c r="R41" s="189">
        <v>22.5</v>
      </c>
      <c r="S41" s="177">
        <f t="shared" si="9"/>
        <v>1.33</v>
      </c>
      <c r="T41" s="160">
        <f t="shared" si="10"/>
        <v>1</v>
      </c>
      <c r="U41" s="160">
        <f t="shared" si="11"/>
        <v>1.33</v>
      </c>
      <c r="V41" s="190">
        <f t="shared" si="12"/>
        <v>49.813155</v>
      </c>
      <c r="W41" s="177">
        <f t="shared" ref="W41:X41" si="26">C41/100</f>
        <v>0.82</v>
      </c>
      <c r="X41" s="177">
        <f t="shared" si="26"/>
        <v>2.03</v>
      </c>
      <c r="Y41" s="177">
        <f t="shared" si="14"/>
        <v>1.33</v>
      </c>
      <c r="Z41" s="191">
        <f t="shared" si="15"/>
        <v>2.213918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55</v>
      </c>
      <c r="C42" s="192">
        <v>100.0</v>
      </c>
      <c r="D42" s="192">
        <v>205.0</v>
      </c>
      <c r="E42" s="192">
        <v>67.0</v>
      </c>
      <c r="F42" s="192">
        <f t="shared" si="5"/>
        <v>0</v>
      </c>
      <c r="G42" s="192">
        <f t="shared" si="6"/>
        <v>30.90375</v>
      </c>
      <c r="H42" s="193">
        <f t="shared" si="7"/>
        <v>30.90375</v>
      </c>
      <c r="I42" s="192">
        <v>1.0</v>
      </c>
      <c r="J42" s="194">
        <f t="shared" si="8"/>
        <v>30.90375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91.0</v>
      </c>
      <c r="R42" s="189">
        <v>22.5</v>
      </c>
      <c r="S42" s="177">
        <f t="shared" si="9"/>
        <v>0.67</v>
      </c>
      <c r="T42" s="160">
        <f t="shared" si="10"/>
        <v>1</v>
      </c>
      <c r="U42" s="160">
        <f t="shared" si="11"/>
        <v>0.67</v>
      </c>
      <c r="V42" s="190">
        <f t="shared" si="12"/>
        <v>30.90375</v>
      </c>
      <c r="W42" s="177">
        <f t="shared" ref="W42:X42" si="27">C42/100</f>
        <v>1</v>
      </c>
      <c r="X42" s="177">
        <f t="shared" si="27"/>
        <v>2.05</v>
      </c>
      <c r="Y42" s="177">
        <f t="shared" si="14"/>
        <v>0.67</v>
      </c>
      <c r="Z42" s="191">
        <f t="shared" si="15"/>
        <v>1.3735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55</v>
      </c>
      <c r="C43" s="192">
        <v>103.0</v>
      </c>
      <c r="D43" s="192">
        <v>204.0</v>
      </c>
      <c r="E43" s="192">
        <v>2874.0</v>
      </c>
      <c r="F43" s="192">
        <f t="shared" si="5"/>
        <v>0</v>
      </c>
      <c r="G43" s="192">
        <f t="shared" si="6"/>
        <v>1358.74098</v>
      </c>
      <c r="H43" s="193">
        <f t="shared" si="7"/>
        <v>1358.74098</v>
      </c>
      <c r="I43" s="192">
        <v>1.0</v>
      </c>
      <c r="J43" s="194">
        <f t="shared" si="8"/>
        <v>1358.74098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1340.0</v>
      </c>
      <c r="R43" s="189">
        <v>22.5</v>
      </c>
      <c r="S43" s="177">
        <f t="shared" si="9"/>
        <v>28.74</v>
      </c>
      <c r="T43" s="160">
        <f t="shared" si="10"/>
        <v>1</v>
      </c>
      <c r="U43" s="160">
        <f t="shared" si="11"/>
        <v>28.74</v>
      </c>
      <c r="V43" s="190">
        <f t="shared" si="12"/>
        <v>1358.74098</v>
      </c>
      <c r="W43" s="177">
        <f t="shared" ref="W43:X43" si="28">C43/100</f>
        <v>1.03</v>
      </c>
      <c r="X43" s="177">
        <f t="shared" si="28"/>
        <v>2.04</v>
      </c>
      <c r="Y43" s="177">
        <f t="shared" si="14"/>
        <v>28.74</v>
      </c>
      <c r="Z43" s="191">
        <f t="shared" si="15"/>
        <v>60.388488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55</v>
      </c>
      <c r="C44" s="192">
        <v>102.0</v>
      </c>
      <c r="D44" s="192">
        <v>204.0</v>
      </c>
      <c r="E44" s="192">
        <v>2865.0</v>
      </c>
      <c r="F44" s="192">
        <f t="shared" si="5"/>
        <v>0</v>
      </c>
      <c r="G44" s="192">
        <f t="shared" si="6"/>
        <v>1341.3357</v>
      </c>
      <c r="H44" s="193">
        <f t="shared" si="7"/>
        <v>1341.3357</v>
      </c>
      <c r="I44" s="192">
        <v>1.0</v>
      </c>
      <c r="J44" s="194">
        <f t="shared" si="8"/>
        <v>1341.3357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1340.0</v>
      </c>
      <c r="R44" s="189">
        <v>22.5</v>
      </c>
      <c r="S44" s="177">
        <f t="shared" si="9"/>
        <v>28.65</v>
      </c>
      <c r="T44" s="160">
        <f t="shared" si="10"/>
        <v>1</v>
      </c>
      <c r="U44" s="160">
        <f t="shared" si="11"/>
        <v>28.65</v>
      </c>
      <c r="V44" s="190">
        <f t="shared" si="12"/>
        <v>1341.3357</v>
      </c>
      <c r="W44" s="177">
        <f t="shared" ref="W44:X44" si="29">C44/100</f>
        <v>1.02</v>
      </c>
      <c r="X44" s="177">
        <f t="shared" si="29"/>
        <v>2.04</v>
      </c>
      <c r="Y44" s="177">
        <f t="shared" si="14"/>
        <v>28.65</v>
      </c>
      <c r="Z44" s="191">
        <f t="shared" si="15"/>
        <v>59.61492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55</v>
      </c>
      <c r="C45" s="192">
        <v>102.0</v>
      </c>
      <c r="D45" s="192">
        <v>204.0</v>
      </c>
      <c r="E45" s="192">
        <v>2870.0</v>
      </c>
      <c r="F45" s="192">
        <f t="shared" si="5"/>
        <v>0</v>
      </c>
      <c r="G45" s="192">
        <f t="shared" si="6"/>
        <v>1343.6766</v>
      </c>
      <c r="H45" s="193">
        <f t="shared" si="7"/>
        <v>1343.6766</v>
      </c>
      <c r="I45" s="192">
        <v>1.0</v>
      </c>
      <c r="J45" s="194">
        <f t="shared" si="8"/>
        <v>1343.6766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1350.0</v>
      </c>
      <c r="R45" s="189">
        <v>22.5</v>
      </c>
      <c r="S45" s="177">
        <f t="shared" si="9"/>
        <v>28.7</v>
      </c>
      <c r="T45" s="160">
        <f t="shared" si="10"/>
        <v>1</v>
      </c>
      <c r="U45" s="160">
        <f t="shared" si="11"/>
        <v>28.7</v>
      </c>
      <c r="V45" s="190">
        <f t="shared" si="12"/>
        <v>1343.6766</v>
      </c>
      <c r="W45" s="177">
        <f t="shared" ref="W45:X45" si="30">C45/100</f>
        <v>1.02</v>
      </c>
      <c r="X45" s="177">
        <f t="shared" si="30"/>
        <v>2.04</v>
      </c>
      <c r="Y45" s="177">
        <f t="shared" si="14"/>
        <v>28.7</v>
      </c>
      <c r="Z45" s="191">
        <f t="shared" si="15"/>
        <v>59.71896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55</v>
      </c>
      <c r="C46" s="192">
        <v>102.0</v>
      </c>
      <c r="D46" s="192">
        <v>204.0</v>
      </c>
      <c r="E46" s="192">
        <v>2874.0</v>
      </c>
      <c r="F46" s="192">
        <f t="shared" si="5"/>
        <v>0</v>
      </c>
      <c r="G46" s="192">
        <f t="shared" si="6"/>
        <v>1345.54932</v>
      </c>
      <c r="H46" s="193">
        <f t="shared" si="7"/>
        <v>1345.54932</v>
      </c>
      <c r="I46" s="192">
        <v>1.0</v>
      </c>
      <c r="J46" s="194">
        <f t="shared" si="8"/>
        <v>1345.54932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1330.0</v>
      </c>
      <c r="R46" s="189">
        <v>22.5</v>
      </c>
      <c r="S46" s="177">
        <f t="shared" si="9"/>
        <v>28.74</v>
      </c>
      <c r="T46" s="160">
        <f t="shared" si="10"/>
        <v>1</v>
      </c>
      <c r="U46" s="160">
        <f t="shared" si="11"/>
        <v>28.74</v>
      </c>
      <c r="V46" s="190">
        <f t="shared" si="12"/>
        <v>1345.54932</v>
      </c>
      <c r="W46" s="177">
        <f t="shared" ref="W46:X46" si="31">C46/100</f>
        <v>1.02</v>
      </c>
      <c r="X46" s="177">
        <f t="shared" si="31"/>
        <v>2.04</v>
      </c>
      <c r="Y46" s="177">
        <f t="shared" si="14"/>
        <v>28.74</v>
      </c>
      <c r="Z46" s="191">
        <f t="shared" si="15"/>
        <v>59.802192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55</v>
      </c>
      <c r="C47" s="192">
        <v>101.0</v>
      </c>
      <c r="D47" s="192">
        <v>204.0</v>
      </c>
      <c r="E47" s="192">
        <v>2874.0</v>
      </c>
      <c r="F47" s="192">
        <f t="shared" si="5"/>
        <v>0</v>
      </c>
      <c r="G47" s="192">
        <f t="shared" si="6"/>
        <v>1332.35766</v>
      </c>
      <c r="H47" s="193">
        <f t="shared" si="7"/>
        <v>1332.35766</v>
      </c>
      <c r="I47" s="192">
        <v>1.0</v>
      </c>
      <c r="J47" s="194">
        <f t="shared" si="8"/>
        <v>1332.35766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1345.0</v>
      </c>
      <c r="R47" s="189">
        <v>22.5</v>
      </c>
      <c r="S47" s="177">
        <f t="shared" si="9"/>
        <v>28.74</v>
      </c>
      <c r="T47" s="160">
        <f t="shared" si="10"/>
        <v>1</v>
      </c>
      <c r="U47" s="160">
        <f t="shared" si="11"/>
        <v>28.74</v>
      </c>
      <c r="V47" s="190">
        <f t="shared" si="12"/>
        <v>1332.35766</v>
      </c>
      <c r="W47" s="177">
        <f t="shared" ref="W47:X47" si="32">C47/100</f>
        <v>1.01</v>
      </c>
      <c r="X47" s="177">
        <f t="shared" si="32"/>
        <v>2.04</v>
      </c>
      <c r="Y47" s="177">
        <f t="shared" si="14"/>
        <v>28.74</v>
      </c>
      <c r="Z47" s="191">
        <f t="shared" si="15"/>
        <v>59.215896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55</v>
      </c>
      <c r="C48" s="192">
        <v>102.0</v>
      </c>
      <c r="D48" s="192">
        <v>204.0</v>
      </c>
      <c r="E48" s="192">
        <v>2872.0</v>
      </c>
      <c r="F48" s="192">
        <f t="shared" si="5"/>
        <v>0</v>
      </c>
      <c r="G48" s="192">
        <f t="shared" si="6"/>
        <v>1344.61296</v>
      </c>
      <c r="H48" s="193">
        <f t="shared" si="7"/>
        <v>1344.61296</v>
      </c>
      <c r="I48" s="192">
        <v>1.0</v>
      </c>
      <c r="J48" s="194">
        <f t="shared" si="8"/>
        <v>1344.61296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1325.0</v>
      </c>
      <c r="R48" s="189">
        <v>22.5</v>
      </c>
      <c r="S48" s="177">
        <f t="shared" si="9"/>
        <v>28.72</v>
      </c>
      <c r="T48" s="160">
        <f t="shared" si="10"/>
        <v>1</v>
      </c>
      <c r="U48" s="160">
        <f t="shared" si="11"/>
        <v>28.72</v>
      </c>
      <c r="V48" s="190">
        <f t="shared" si="12"/>
        <v>1344.61296</v>
      </c>
      <c r="W48" s="177">
        <f t="shared" ref="W48:X48" si="33">C48/100</f>
        <v>1.02</v>
      </c>
      <c r="X48" s="177">
        <f t="shared" si="33"/>
        <v>2.04</v>
      </c>
      <c r="Y48" s="177">
        <f t="shared" si="14"/>
        <v>28.72</v>
      </c>
      <c r="Z48" s="191">
        <f t="shared" si="15"/>
        <v>59.760576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55</v>
      </c>
      <c r="C49" s="192">
        <v>103.0</v>
      </c>
      <c r="D49" s="192">
        <v>204.0</v>
      </c>
      <c r="E49" s="192">
        <v>2875.0</v>
      </c>
      <c r="F49" s="192">
        <f t="shared" si="5"/>
        <v>0</v>
      </c>
      <c r="G49" s="192">
        <f t="shared" si="6"/>
        <v>1359.21375</v>
      </c>
      <c r="H49" s="193">
        <f t="shared" si="7"/>
        <v>1359.21375</v>
      </c>
      <c r="I49" s="192">
        <v>1.0</v>
      </c>
      <c r="J49" s="194">
        <f t="shared" si="8"/>
        <v>1359.21375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1355.0</v>
      </c>
      <c r="R49" s="189">
        <v>22.5</v>
      </c>
      <c r="S49" s="177">
        <f t="shared" si="9"/>
        <v>28.75</v>
      </c>
      <c r="T49" s="160">
        <f t="shared" si="10"/>
        <v>1</v>
      </c>
      <c r="U49" s="160">
        <f t="shared" si="11"/>
        <v>28.75</v>
      </c>
      <c r="V49" s="190">
        <f t="shared" si="12"/>
        <v>1359.21375</v>
      </c>
      <c r="W49" s="177">
        <f t="shared" ref="W49:X49" si="34">C49/100</f>
        <v>1.03</v>
      </c>
      <c r="X49" s="177">
        <f t="shared" si="34"/>
        <v>2.04</v>
      </c>
      <c r="Y49" s="177">
        <f t="shared" si="14"/>
        <v>28.75</v>
      </c>
      <c r="Z49" s="191">
        <f t="shared" si="15"/>
        <v>60.4095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55</v>
      </c>
      <c r="C50" s="192">
        <v>101.0</v>
      </c>
      <c r="D50" s="192">
        <v>204.0</v>
      </c>
      <c r="E50" s="192">
        <v>2875.0</v>
      </c>
      <c r="F50" s="192">
        <f t="shared" si="5"/>
        <v>0</v>
      </c>
      <c r="G50" s="192">
        <f t="shared" si="6"/>
        <v>1332.82125</v>
      </c>
      <c r="H50" s="193">
        <f t="shared" si="7"/>
        <v>1332.82125</v>
      </c>
      <c r="I50" s="192">
        <v>1.0</v>
      </c>
      <c r="J50" s="194">
        <f t="shared" si="8"/>
        <v>1332.82125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1340.0</v>
      </c>
      <c r="R50" s="189">
        <v>22.5</v>
      </c>
      <c r="S50" s="177">
        <f t="shared" si="9"/>
        <v>28.75</v>
      </c>
      <c r="T50" s="160">
        <f t="shared" si="10"/>
        <v>1</v>
      </c>
      <c r="U50" s="160">
        <f t="shared" si="11"/>
        <v>28.75</v>
      </c>
      <c r="V50" s="190">
        <f t="shared" si="12"/>
        <v>1332.82125</v>
      </c>
      <c r="W50" s="177">
        <f t="shared" ref="W50:X50" si="35">C50/100</f>
        <v>1.01</v>
      </c>
      <c r="X50" s="177">
        <f t="shared" si="35"/>
        <v>2.04</v>
      </c>
      <c r="Y50" s="177">
        <f t="shared" si="14"/>
        <v>28.75</v>
      </c>
      <c r="Z50" s="191">
        <f t="shared" si="15"/>
        <v>59.2365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55</v>
      </c>
      <c r="C51" s="192">
        <v>100.0</v>
      </c>
      <c r="D51" s="192">
        <v>204.0</v>
      </c>
      <c r="E51" s="192">
        <v>2877.0</v>
      </c>
      <c r="F51" s="192">
        <f t="shared" si="5"/>
        <v>0</v>
      </c>
      <c r="G51" s="192">
        <f t="shared" si="6"/>
        <v>1320.543</v>
      </c>
      <c r="H51" s="193">
        <f t="shared" si="7"/>
        <v>1320.543</v>
      </c>
      <c r="I51" s="192">
        <v>1.0</v>
      </c>
      <c r="J51" s="194">
        <f t="shared" si="8"/>
        <v>1320.543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1360.0</v>
      </c>
      <c r="R51" s="189">
        <v>22.5</v>
      </c>
      <c r="S51" s="177">
        <f t="shared" si="9"/>
        <v>28.77</v>
      </c>
      <c r="T51" s="160">
        <f t="shared" si="10"/>
        <v>1</v>
      </c>
      <c r="U51" s="160">
        <f t="shared" si="11"/>
        <v>28.77</v>
      </c>
      <c r="V51" s="190">
        <f t="shared" si="12"/>
        <v>1320.543</v>
      </c>
      <c r="W51" s="177">
        <f t="shared" ref="W51:X51" si="36">C51/100</f>
        <v>1</v>
      </c>
      <c r="X51" s="177">
        <f t="shared" si="36"/>
        <v>2.04</v>
      </c>
      <c r="Y51" s="177">
        <f t="shared" si="14"/>
        <v>28.77</v>
      </c>
      <c r="Z51" s="191">
        <f t="shared" si="15"/>
        <v>58.6908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55</v>
      </c>
      <c r="C52" s="192">
        <v>104.0</v>
      </c>
      <c r="D52" s="192">
        <v>204.0</v>
      </c>
      <c r="E52" s="192">
        <v>2881.0</v>
      </c>
      <c r="F52" s="192">
        <f t="shared" si="5"/>
        <v>0</v>
      </c>
      <c r="G52" s="192">
        <f t="shared" si="6"/>
        <v>1375.27416</v>
      </c>
      <c r="H52" s="193">
        <f t="shared" si="7"/>
        <v>1375.27416</v>
      </c>
      <c r="I52" s="192">
        <v>1.0</v>
      </c>
      <c r="J52" s="194">
        <f t="shared" si="8"/>
        <v>1375.27416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1355.0</v>
      </c>
      <c r="R52" s="189">
        <v>22.5</v>
      </c>
      <c r="S52" s="177">
        <f t="shared" si="9"/>
        <v>28.81</v>
      </c>
      <c r="T52" s="160">
        <f t="shared" si="10"/>
        <v>1</v>
      </c>
      <c r="U52" s="160">
        <f t="shared" si="11"/>
        <v>28.81</v>
      </c>
      <c r="V52" s="190">
        <f t="shared" si="12"/>
        <v>1375.27416</v>
      </c>
      <c r="W52" s="177">
        <f t="shared" ref="W52:X52" si="37">C52/100</f>
        <v>1.04</v>
      </c>
      <c r="X52" s="177">
        <f t="shared" si="37"/>
        <v>2.04</v>
      </c>
      <c r="Y52" s="177">
        <f t="shared" si="14"/>
        <v>28.81</v>
      </c>
      <c r="Z52" s="191">
        <f t="shared" si="15"/>
        <v>61.123296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82" t="s">
        <v>85</v>
      </c>
      <c r="C53" s="183">
        <v>73.0</v>
      </c>
      <c r="D53" s="183">
        <v>219.0</v>
      </c>
      <c r="E53" s="183">
        <v>191.0</v>
      </c>
      <c r="F53" s="183">
        <f t="shared" si="5"/>
        <v>0</v>
      </c>
      <c r="G53" s="183">
        <f t="shared" si="6"/>
        <v>58.016823</v>
      </c>
      <c r="H53" s="184">
        <f t="shared" si="7"/>
        <v>58.016823</v>
      </c>
      <c r="I53" s="183">
        <v>1.0</v>
      </c>
      <c r="J53" s="185">
        <f t="shared" si="8"/>
        <v>58.016823</v>
      </c>
      <c r="K53" s="186"/>
      <c r="L53" s="187">
        <f t="shared" si="17"/>
        <v>5.5626</v>
      </c>
      <c r="M53" s="188">
        <f t="shared" si="18"/>
        <v>1</v>
      </c>
      <c r="N53" s="188">
        <f t="shared" si="19"/>
        <v>5.5626</v>
      </c>
      <c r="O53" s="186"/>
      <c r="P53" s="186"/>
      <c r="Q53" s="187">
        <v>77.0</v>
      </c>
      <c r="R53" s="189">
        <v>19.0</v>
      </c>
      <c r="S53" s="177">
        <f t="shared" si="9"/>
        <v>1.91</v>
      </c>
      <c r="T53" s="160">
        <f t="shared" si="10"/>
        <v>1</v>
      </c>
      <c r="U53" s="160">
        <f t="shared" si="11"/>
        <v>1.91</v>
      </c>
      <c r="V53" s="190">
        <f t="shared" si="12"/>
        <v>58.016823</v>
      </c>
      <c r="W53" s="177">
        <f t="shared" ref="W53:X53" si="38">C53/100</f>
        <v>0.73</v>
      </c>
      <c r="X53" s="177">
        <f t="shared" si="38"/>
        <v>2.19</v>
      </c>
      <c r="Y53" s="177">
        <f t="shared" si="14"/>
        <v>1.91</v>
      </c>
      <c r="Z53" s="191">
        <f t="shared" si="15"/>
        <v>3.053517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85</v>
      </c>
      <c r="C54" s="192">
        <v>72.0</v>
      </c>
      <c r="D54" s="192">
        <v>223.0</v>
      </c>
      <c r="E54" s="192">
        <v>187.0</v>
      </c>
      <c r="F54" s="192">
        <f t="shared" si="5"/>
        <v>0</v>
      </c>
      <c r="G54" s="192">
        <f t="shared" si="6"/>
        <v>57.046968</v>
      </c>
      <c r="H54" s="193">
        <f t="shared" si="7"/>
        <v>57.046968</v>
      </c>
      <c r="I54" s="192">
        <v>1.0</v>
      </c>
      <c r="J54" s="194">
        <f t="shared" si="8"/>
        <v>57.046968</v>
      </c>
      <c r="K54" s="139"/>
      <c r="L54" s="177">
        <f t="shared" si="17"/>
        <v>5.6642</v>
      </c>
      <c r="M54" s="160">
        <f t="shared" si="18"/>
        <v>1</v>
      </c>
      <c r="N54" s="160">
        <f t="shared" si="19"/>
        <v>5.6642</v>
      </c>
      <c r="O54" s="139"/>
      <c r="P54" s="139"/>
      <c r="Q54" s="177">
        <v>67.0</v>
      </c>
      <c r="R54" s="189">
        <v>19.0</v>
      </c>
      <c r="S54" s="177">
        <f t="shared" si="9"/>
        <v>1.87</v>
      </c>
      <c r="T54" s="160">
        <f t="shared" si="10"/>
        <v>1</v>
      </c>
      <c r="U54" s="160">
        <f t="shared" si="11"/>
        <v>1.87</v>
      </c>
      <c r="V54" s="190">
        <f t="shared" si="12"/>
        <v>57.046968</v>
      </c>
      <c r="W54" s="177">
        <f t="shared" ref="W54:X54" si="39">C54/100</f>
        <v>0.72</v>
      </c>
      <c r="X54" s="177">
        <f t="shared" si="39"/>
        <v>2.23</v>
      </c>
      <c r="Y54" s="177">
        <f t="shared" si="14"/>
        <v>1.87</v>
      </c>
      <c r="Z54" s="191">
        <f t="shared" si="15"/>
        <v>3.002472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85</v>
      </c>
      <c r="C55" s="192">
        <v>100.0</v>
      </c>
      <c r="D55" s="192">
        <v>219.0</v>
      </c>
      <c r="E55" s="192">
        <v>54.0</v>
      </c>
      <c r="F55" s="192">
        <f t="shared" si="5"/>
        <v>0</v>
      </c>
      <c r="G55" s="192">
        <f t="shared" si="6"/>
        <v>22.4694</v>
      </c>
      <c r="H55" s="193">
        <f t="shared" si="7"/>
        <v>22.4694</v>
      </c>
      <c r="I55" s="192">
        <v>1.0</v>
      </c>
      <c r="J55" s="194">
        <f t="shared" si="8"/>
        <v>22.4694</v>
      </c>
      <c r="K55" s="139"/>
      <c r="L55" s="177">
        <f t="shared" si="17"/>
        <v>5.5626</v>
      </c>
      <c r="M55" s="160">
        <f t="shared" si="18"/>
        <v>1</v>
      </c>
      <c r="N55" s="160">
        <f t="shared" si="19"/>
        <v>5.5626</v>
      </c>
      <c r="O55" s="139"/>
      <c r="P55" s="139"/>
      <c r="Q55" s="177">
        <v>33.0</v>
      </c>
      <c r="R55" s="189">
        <v>19.0</v>
      </c>
      <c r="S55" s="177">
        <f t="shared" si="9"/>
        <v>0.54</v>
      </c>
      <c r="T55" s="160">
        <f t="shared" si="10"/>
        <v>1</v>
      </c>
      <c r="U55" s="160">
        <f t="shared" si="11"/>
        <v>0.54</v>
      </c>
      <c r="V55" s="190">
        <f t="shared" si="12"/>
        <v>22.4694</v>
      </c>
      <c r="W55" s="177">
        <f t="shared" ref="W55:X55" si="40">C55/100</f>
        <v>1</v>
      </c>
      <c r="X55" s="177">
        <f t="shared" si="40"/>
        <v>2.19</v>
      </c>
      <c r="Y55" s="177">
        <f t="shared" si="14"/>
        <v>0.54</v>
      </c>
      <c r="Z55" s="191">
        <f t="shared" si="15"/>
        <v>1.1826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85</v>
      </c>
      <c r="C56" s="192">
        <v>101.0</v>
      </c>
      <c r="D56" s="192">
        <v>219.0</v>
      </c>
      <c r="E56" s="192">
        <v>75.0</v>
      </c>
      <c r="F56" s="192">
        <f t="shared" si="5"/>
        <v>0</v>
      </c>
      <c r="G56" s="192">
        <f t="shared" si="6"/>
        <v>31.519575</v>
      </c>
      <c r="H56" s="193">
        <f t="shared" si="7"/>
        <v>31.519575</v>
      </c>
      <c r="I56" s="192">
        <v>1.0</v>
      </c>
      <c r="J56" s="194">
        <f t="shared" si="8"/>
        <v>31.519575</v>
      </c>
      <c r="K56" s="139"/>
      <c r="L56" s="177">
        <f t="shared" si="17"/>
        <v>5.5626</v>
      </c>
      <c r="M56" s="160">
        <f t="shared" si="18"/>
        <v>1</v>
      </c>
      <c r="N56" s="160">
        <f t="shared" si="19"/>
        <v>5.5626</v>
      </c>
      <c r="O56" s="139"/>
      <c r="P56" s="139"/>
      <c r="Q56" s="177">
        <v>50.0</v>
      </c>
      <c r="R56" s="189">
        <v>19.0</v>
      </c>
      <c r="S56" s="177">
        <f t="shared" si="9"/>
        <v>0.75</v>
      </c>
      <c r="T56" s="160">
        <f t="shared" si="10"/>
        <v>1</v>
      </c>
      <c r="U56" s="160">
        <f t="shared" si="11"/>
        <v>0.75</v>
      </c>
      <c r="V56" s="190">
        <f t="shared" si="12"/>
        <v>31.519575</v>
      </c>
      <c r="W56" s="177">
        <f t="shared" ref="W56:X56" si="41">C56/100</f>
        <v>1.01</v>
      </c>
      <c r="X56" s="177">
        <f t="shared" si="41"/>
        <v>2.19</v>
      </c>
      <c r="Y56" s="177">
        <f t="shared" si="14"/>
        <v>0.75</v>
      </c>
      <c r="Z56" s="191">
        <f t="shared" si="15"/>
        <v>1.658925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85</v>
      </c>
      <c r="C57" s="192">
        <v>105.0</v>
      </c>
      <c r="D57" s="192">
        <v>219.0</v>
      </c>
      <c r="E57" s="192">
        <v>2852.0</v>
      </c>
      <c r="F57" s="192">
        <f t="shared" si="5"/>
        <v>0</v>
      </c>
      <c r="G57" s="192">
        <f t="shared" si="6"/>
        <v>1246.05306</v>
      </c>
      <c r="H57" s="193">
        <f t="shared" si="7"/>
        <v>1246.05306</v>
      </c>
      <c r="I57" s="192">
        <v>1.0</v>
      </c>
      <c r="J57" s="194">
        <f t="shared" si="8"/>
        <v>1246.05306</v>
      </c>
      <c r="K57" s="139"/>
      <c r="L57" s="195"/>
      <c r="M57" s="196">
        <f t="shared" si="18"/>
        <v>1</v>
      </c>
      <c r="N57" s="196"/>
      <c r="O57" s="139"/>
      <c r="P57" s="139"/>
      <c r="Q57" s="177">
        <v>1275.0</v>
      </c>
      <c r="R57" s="189">
        <v>19.0</v>
      </c>
      <c r="S57" s="177">
        <f t="shared" si="9"/>
        <v>28.52</v>
      </c>
      <c r="T57" s="160">
        <f t="shared" si="10"/>
        <v>1</v>
      </c>
      <c r="U57" s="160">
        <f t="shared" si="11"/>
        <v>28.52</v>
      </c>
      <c r="V57" s="190">
        <f t="shared" si="12"/>
        <v>1246.05306</v>
      </c>
      <c r="W57" s="177">
        <f t="shared" ref="W57:X57" si="42">C57/100</f>
        <v>1.05</v>
      </c>
      <c r="X57" s="177">
        <f t="shared" si="42"/>
        <v>2.19</v>
      </c>
      <c r="Y57" s="177">
        <f t="shared" si="14"/>
        <v>28.52</v>
      </c>
      <c r="Z57" s="191">
        <f t="shared" si="15"/>
        <v>65.58174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85</v>
      </c>
      <c r="C58" s="192">
        <v>107.0</v>
      </c>
      <c r="D58" s="192">
        <v>219.0</v>
      </c>
      <c r="E58" s="192">
        <v>2857.0</v>
      </c>
      <c r="F58" s="192">
        <f t="shared" si="5"/>
        <v>0</v>
      </c>
      <c r="G58" s="192">
        <f t="shared" si="6"/>
        <v>1272.013539</v>
      </c>
      <c r="H58" s="193">
        <f t="shared" si="7"/>
        <v>1272.013539</v>
      </c>
      <c r="I58" s="192">
        <v>1.0</v>
      </c>
      <c r="J58" s="194">
        <f t="shared" si="8"/>
        <v>1272.013539</v>
      </c>
      <c r="K58" s="139"/>
      <c r="L58" s="195"/>
      <c r="M58" s="196">
        <f t="shared" si="18"/>
        <v>1</v>
      </c>
      <c r="N58" s="196"/>
      <c r="O58" s="139"/>
      <c r="P58" s="139"/>
      <c r="Q58" s="177">
        <v>1280.0</v>
      </c>
      <c r="R58" s="189">
        <v>19.0</v>
      </c>
      <c r="S58" s="177">
        <f t="shared" si="9"/>
        <v>28.57</v>
      </c>
      <c r="T58" s="160">
        <f t="shared" si="10"/>
        <v>1</v>
      </c>
      <c r="U58" s="160">
        <f t="shared" si="11"/>
        <v>28.57</v>
      </c>
      <c r="V58" s="190">
        <f t="shared" si="12"/>
        <v>1272.013539</v>
      </c>
      <c r="W58" s="177">
        <f t="shared" ref="W58:X58" si="43">C58/100</f>
        <v>1.07</v>
      </c>
      <c r="X58" s="177">
        <f t="shared" si="43"/>
        <v>2.19</v>
      </c>
      <c r="Y58" s="177">
        <f t="shared" si="14"/>
        <v>28.57</v>
      </c>
      <c r="Z58" s="191">
        <f t="shared" si="15"/>
        <v>66.948081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85</v>
      </c>
      <c r="C59" s="192">
        <v>105.0</v>
      </c>
      <c r="D59" s="192">
        <v>219.0</v>
      </c>
      <c r="E59" s="192">
        <v>2857.0</v>
      </c>
      <c r="F59" s="192">
        <f t="shared" si="5"/>
        <v>0</v>
      </c>
      <c r="G59" s="192">
        <f t="shared" si="6"/>
        <v>1248.237585</v>
      </c>
      <c r="H59" s="193">
        <f t="shared" si="7"/>
        <v>1248.237585</v>
      </c>
      <c r="I59" s="192">
        <v>1.0</v>
      </c>
      <c r="J59" s="194">
        <f t="shared" si="8"/>
        <v>1248.237585</v>
      </c>
      <c r="K59" s="139"/>
      <c r="L59" s="195"/>
      <c r="M59" s="196">
        <f t="shared" si="18"/>
        <v>1</v>
      </c>
      <c r="N59" s="196"/>
      <c r="O59" s="139"/>
      <c r="P59" s="139"/>
      <c r="Q59" s="177">
        <v>1280.0</v>
      </c>
      <c r="R59" s="189">
        <v>19.0</v>
      </c>
      <c r="S59" s="177">
        <f t="shared" si="9"/>
        <v>28.57</v>
      </c>
      <c r="T59" s="160">
        <f t="shared" si="10"/>
        <v>1</v>
      </c>
      <c r="U59" s="160">
        <f t="shared" si="11"/>
        <v>28.57</v>
      </c>
      <c r="V59" s="190">
        <f t="shared" si="12"/>
        <v>1248.237585</v>
      </c>
      <c r="W59" s="177">
        <f t="shared" ref="W59:X59" si="44">C59/100</f>
        <v>1.05</v>
      </c>
      <c r="X59" s="177">
        <f t="shared" si="44"/>
        <v>2.19</v>
      </c>
      <c r="Y59" s="177">
        <f t="shared" si="14"/>
        <v>28.57</v>
      </c>
      <c r="Z59" s="191">
        <f t="shared" si="15"/>
        <v>65.696715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85</v>
      </c>
      <c r="C60" s="192">
        <v>105.0</v>
      </c>
      <c r="D60" s="192">
        <v>219.0</v>
      </c>
      <c r="E60" s="192">
        <v>2805.0</v>
      </c>
      <c r="F60" s="192">
        <f t="shared" si="5"/>
        <v>0</v>
      </c>
      <c r="G60" s="192">
        <f t="shared" si="6"/>
        <v>1225.518525</v>
      </c>
      <c r="H60" s="193">
        <f t="shared" si="7"/>
        <v>1225.518525</v>
      </c>
      <c r="I60" s="192">
        <v>1.0</v>
      </c>
      <c r="J60" s="194">
        <f t="shared" si="8"/>
        <v>1225.518525</v>
      </c>
      <c r="K60" s="139"/>
      <c r="L60" s="195"/>
      <c r="M60" s="196">
        <f t="shared" si="18"/>
        <v>1</v>
      </c>
      <c r="N60" s="196"/>
      <c r="O60" s="139"/>
      <c r="P60" s="139"/>
      <c r="Q60" s="177">
        <v>1245.0</v>
      </c>
      <c r="R60" s="189">
        <v>19.0</v>
      </c>
      <c r="S60" s="177">
        <f t="shared" si="9"/>
        <v>28.05</v>
      </c>
      <c r="T60" s="160">
        <f t="shared" si="10"/>
        <v>1</v>
      </c>
      <c r="U60" s="160">
        <f t="shared" si="11"/>
        <v>28.05</v>
      </c>
      <c r="V60" s="190">
        <f t="shared" si="12"/>
        <v>1225.518525</v>
      </c>
      <c r="W60" s="177">
        <f t="shared" ref="W60:X60" si="45">C60/100</f>
        <v>1.05</v>
      </c>
      <c r="X60" s="177">
        <f t="shared" si="45"/>
        <v>2.19</v>
      </c>
      <c r="Y60" s="177">
        <f t="shared" si="14"/>
        <v>28.05</v>
      </c>
      <c r="Z60" s="191">
        <f t="shared" si="15"/>
        <v>64.500975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82" t="s">
        <v>79</v>
      </c>
      <c r="C61" s="183">
        <v>102.0</v>
      </c>
      <c r="D61" s="183">
        <v>222.0</v>
      </c>
      <c r="E61" s="183">
        <v>62.0</v>
      </c>
      <c r="F61" s="183">
        <f t="shared" si="5"/>
        <v>0</v>
      </c>
      <c r="G61" s="183">
        <f t="shared" si="6"/>
        <v>22.462848</v>
      </c>
      <c r="H61" s="184">
        <f t="shared" si="7"/>
        <v>22.462848</v>
      </c>
      <c r="I61" s="183">
        <v>1.0</v>
      </c>
      <c r="J61" s="185">
        <f t="shared" si="8"/>
        <v>22.462848</v>
      </c>
      <c r="K61" s="186"/>
      <c r="L61" s="265"/>
      <c r="M61" s="266">
        <f t="shared" si="18"/>
        <v>1</v>
      </c>
      <c r="N61" s="266"/>
      <c r="O61" s="186"/>
      <c r="P61" s="186"/>
      <c r="Q61" s="187">
        <v>25.0</v>
      </c>
      <c r="R61" s="189">
        <v>16.0</v>
      </c>
      <c r="S61" s="177">
        <f t="shared" si="9"/>
        <v>0.62</v>
      </c>
      <c r="T61" s="160">
        <f t="shared" si="10"/>
        <v>1</v>
      </c>
      <c r="U61" s="160">
        <f t="shared" si="11"/>
        <v>0.62</v>
      </c>
      <c r="V61" s="190">
        <f t="shared" si="12"/>
        <v>22.462848</v>
      </c>
      <c r="W61" s="177">
        <f t="shared" ref="W61:X61" si="46">C61/100</f>
        <v>1.02</v>
      </c>
      <c r="X61" s="177">
        <f t="shared" si="46"/>
        <v>2.22</v>
      </c>
      <c r="Y61" s="177">
        <f t="shared" si="14"/>
        <v>0.62</v>
      </c>
      <c r="Z61" s="191">
        <f t="shared" si="15"/>
        <v>1.403928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2" t="s">
        <v>79</v>
      </c>
      <c r="C62" s="192">
        <v>106.0</v>
      </c>
      <c r="D62" s="192">
        <v>223.0</v>
      </c>
      <c r="E62" s="192">
        <v>200.0</v>
      </c>
      <c r="F62" s="192">
        <f t="shared" si="5"/>
        <v>0</v>
      </c>
      <c r="G62" s="192">
        <f t="shared" si="6"/>
        <v>75.6416</v>
      </c>
      <c r="H62" s="193">
        <f t="shared" si="7"/>
        <v>75.6416</v>
      </c>
      <c r="I62" s="192">
        <v>1.0</v>
      </c>
      <c r="J62" s="194">
        <f t="shared" si="8"/>
        <v>75.6416</v>
      </c>
      <c r="K62" s="139"/>
      <c r="L62" s="195"/>
      <c r="M62" s="196">
        <f t="shared" si="18"/>
        <v>1</v>
      </c>
      <c r="N62" s="196"/>
      <c r="O62" s="139"/>
      <c r="P62" s="139"/>
      <c r="Q62" s="177">
        <v>79.0</v>
      </c>
      <c r="R62" s="189">
        <v>16.0</v>
      </c>
      <c r="S62" s="177">
        <f t="shared" si="9"/>
        <v>2</v>
      </c>
      <c r="T62" s="160">
        <f t="shared" si="10"/>
        <v>1</v>
      </c>
      <c r="U62" s="160">
        <f t="shared" si="11"/>
        <v>2</v>
      </c>
      <c r="V62" s="190">
        <f t="shared" si="12"/>
        <v>75.6416</v>
      </c>
      <c r="W62" s="177">
        <f t="shared" ref="W62:X62" si="47">C62/100</f>
        <v>1.06</v>
      </c>
      <c r="X62" s="177">
        <f t="shared" si="47"/>
        <v>2.23</v>
      </c>
      <c r="Y62" s="177">
        <f t="shared" si="14"/>
        <v>2</v>
      </c>
      <c r="Z62" s="191">
        <f t="shared" si="15"/>
        <v>4.7276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79</v>
      </c>
      <c r="C63" s="192">
        <v>102.0</v>
      </c>
      <c r="D63" s="192">
        <v>222.0</v>
      </c>
      <c r="E63" s="192">
        <v>62.0</v>
      </c>
      <c r="F63" s="192">
        <f t="shared" si="5"/>
        <v>0</v>
      </c>
      <c r="G63" s="192">
        <f t="shared" si="6"/>
        <v>22.462848</v>
      </c>
      <c r="H63" s="193">
        <f t="shared" si="7"/>
        <v>22.462848</v>
      </c>
      <c r="I63" s="192">
        <v>1.0</v>
      </c>
      <c r="J63" s="194">
        <f t="shared" si="8"/>
        <v>22.462848</v>
      </c>
      <c r="K63" s="139"/>
      <c r="L63" s="195"/>
      <c r="M63" s="196">
        <f t="shared" si="18"/>
        <v>1</v>
      </c>
      <c r="N63" s="196"/>
      <c r="O63" s="139"/>
      <c r="P63" s="139"/>
      <c r="Q63" s="177">
        <v>25.0</v>
      </c>
      <c r="R63" s="189">
        <v>16.0</v>
      </c>
      <c r="S63" s="177">
        <f t="shared" si="9"/>
        <v>0.62</v>
      </c>
      <c r="T63" s="160">
        <f t="shared" si="10"/>
        <v>1</v>
      </c>
      <c r="U63" s="160">
        <f t="shared" si="11"/>
        <v>0.62</v>
      </c>
      <c r="V63" s="190">
        <f t="shared" si="12"/>
        <v>22.462848</v>
      </c>
      <c r="W63" s="177">
        <f t="shared" ref="W63:X63" si="48">C63/100</f>
        <v>1.02</v>
      </c>
      <c r="X63" s="177">
        <f t="shared" si="48"/>
        <v>2.22</v>
      </c>
      <c r="Y63" s="177">
        <f t="shared" si="14"/>
        <v>0.62</v>
      </c>
      <c r="Z63" s="191">
        <f t="shared" si="15"/>
        <v>1.403928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79</v>
      </c>
      <c r="C64" s="192">
        <v>103.0</v>
      </c>
      <c r="D64" s="192">
        <v>224.0</v>
      </c>
      <c r="E64" s="192">
        <v>56.0</v>
      </c>
      <c r="F64" s="192">
        <f t="shared" si="5"/>
        <v>0</v>
      </c>
      <c r="G64" s="192">
        <f t="shared" si="6"/>
        <v>20.672512</v>
      </c>
      <c r="H64" s="193">
        <f t="shared" si="7"/>
        <v>20.672512</v>
      </c>
      <c r="I64" s="192">
        <v>1.0</v>
      </c>
      <c r="J64" s="194">
        <f t="shared" si="8"/>
        <v>20.672512</v>
      </c>
      <c r="K64" s="139"/>
      <c r="L64" s="195"/>
      <c r="M64" s="196">
        <f t="shared" si="18"/>
        <v>1</v>
      </c>
      <c r="N64" s="196"/>
      <c r="O64" s="139"/>
      <c r="P64" s="139"/>
      <c r="Q64" s="177">
        <v>34.0</v>
      </c>
      <c r="R64" s="189">
        <v>16.0</v>
      </c>
      <c r="S64" s="177">
        <f t="shared" si="9"/>
        <v>0.56</v>
      </c>
      <c r="T64" s="160">
        <f t="shared" si="10"/>
        <v>1</v>
      </c>
      <c r="U64" s="160">
        <f t="shared" si="11"/>
        <v>0.56</v>
      </c>
      <c r="V64" s="190">
        <f t="shared" si="12"/>
        <v>20.672512</v>
      </c>
      <c r="W64" s="177">
        <f t="shared" ref="W64:X64" si="49">C64/100</f>
        <v>1.03</v>
      </c>
      <c r="X64" s="177">
        <f t="shared" si="49"/>
        <v>2.24</v>
      </c>
      <c r="Y64" s="177">
        <f t="shared" si="14"/>
        <v>0.56</v>
      </c>
      <c r="Z64" s="191">
        <f t="shared" si="15"/>
        <v>1.292032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79</v>
      </c>
      <c r="C65" s="192">
        <v>102.0</v>
      </c>
      <c r="D65" s="192">
        <v>224.0</v>
      </c>
      <c r="E65" s="192">
        <v>67.0</v>
      </c>
      <c r="F65" s="192">
        <f t="shared" si="5"/>
        <v>0</v>
      </c>
      <c r="G65" s="192">
        <f t="shared" si="6"/>
        <v>24.493056</v>
      </c>
      <c r="H65" s="193">
        <f t="shared" si="7"/>
        <v>24.493056</v>
      </c>
      <c r="I65" s="192">
        <v>1.0</v>
      </c>
      <c r="J65" s="194">
        <f t="shared" si="8"/>
        <v>24.493056</v>
      </c>
      <c r="K65" s="139"/>
      <c r="L65" s="195"/>
      <c r="M65" s="196">
        <f t="shared" si="18"/>
        <v>1</v>
      </c>
      <c r="N65" s="196"/>
      <c r="O65" s="139"/>
      <c r="P65" s="139"/>
      <c r="Q65" s="177">
        <v>34.0</v>
      </c>
      <c r="R65" s="189">
        <v>16.0</v>
      </c>
      <c r="S65" s="177">
        <f t="shared" si="9"/>
        <v>0.67</v>
      </c>
      <c r="T65" s="160">
        <f t="shared" si="10"/>
        <v>1</v>
      </c>
      <c r="U65" s="160">
        <f t="shared" si="11"/>
        <v>0.67</v>
      </c>
      <c r="V65" s="190">
        <f t="shared" si="12"/>
        <v>24.493056</v>
      </c>
      <c r="W65" s="177">
        <f t="shared" ref="W65:X65" si="50">C65/100</f>
        <v>1.02</v>
      </c>
      <c r="X65" s="177">
        <f t="shared" si="50"/>
        <v>2.24</v>
      </c>
      <c r="Y65" s="177">
        <f t="shared" si="14"/>
        <v>0.67</v>
      </c>
      <c r="Z65" s="191">
        <f t="shared" si="15"/>
        <v>1.530816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79</v>
      </c>
      <c r="C66" s="192">
        <v>104.0</v>
      </c>
      <c r="D66" s="192">
        <v>223.0</v>
      </c>
      <c r="E66" s="192">
        <v>2856.0</v>
      </c>
      <c r="F66" s="192">
        <f t="shared" si="5"/>
        <v>0</v>
      </c>
      <c r="G66" s="192">
        <f t="shared" si="6"/>
        <v>1059.781632</v>
      </c>
      <c r="H66" s="193">
        <f t="shared" si="7"/>
        <v>1059.781632</v>
      </c>
      <c r="I66" s="192">
        <v>1.0</v>
      </c>
      <c r="J66" s="194">
        <f t="shared" si="8"/>
        <v>1059.781632</v>
      </c>
      <c r="K66" s="139"/>
      <c r="L66" s="195"/>
      <c r="M66" s="196">
        <f t="shared" si="18"/>
        <v>1</v>
      </c>
      <c r="N66" s="196"/>
      <c r="O66" s="139"/>
      <c r="P66" s="139"/>
      <c r="Q66" s="177">
        <v>1070.0</v>
      </c>
      <c r="R66" s="189">
        <v>16.0</v>
      </c>
      <c r="S66" s="177">
        <f t="shared" si="9"/>
        <v>28.56</v>
      </c>
      <c r="T66" s="160">
        <f t="shared" si="10"/>
        <v>1</v>
      </c>
      <c r="U66" s="160">
        <f t="shared" si="11"/>
        <v>28.56</v>
      </c>
      <c r="V66" s="190">
        <f t="shared" si="12"/>
        <v>1059.781632</v>
      </c>
      <c r="W66" s="177">
        <f t="shared" ref="W66:X66" si="51">C66/100</f>
        <v>1.04</v>
      </c>
      <c r="X66" s="177">
        <f t="shared" si="51"/>
        <v>2.23</v>
      </c>
      <c r="Y66" s="177">
        <f t="shared" si="14"/>
        <v>28.56</v>
      </c>
      <c r="Z66" s="191">
        <f t="shared" si="15"/>
        <v>66.236352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79</v>
      </c>
      <c r="C67" s="192">
        <v>106.0</v>
      </c>
      <c r="D67" s="192">
        <v>223.0</v>
      </c>
      <c r="E67" s="192">
        <v>2854.0</v>
      </c>
      <c r="F67" s="192">
        <f t="shared" si="5"/>
        <v>0</v>
      </c>
      <c r="G67" s="192">
        <f t="shared" si="6"/>
        <v>1079.405632</v>
      </c>
      <c r="H67" s="193">
        <f t="shared" si="7"/>
        <v>1079.405632</v>
      </c>
      <c r="I67" s="192">
        <v>1.0</v>
      </c>
      <c r="J67" s="194">
        <f t="shared" si="8"/>
        <v>1079.405632</v>
      </c>
      <c r="K67" s="139"/>
      <c r="L67" s="195"/>
      <c r="M67" s="196">
        <f t="shared" si="18"/>
        <v>1</v>
      </c>
      <c r="N67" s="196"/>
      <c r="O67" s="139"/>
      <c r="P67" s="139"/>
      <c r="Q67" s="177">
        <v>1050.0</v>
      </c>
      <c r="R67" s="189">
        <v>16.0</v>
      </c>
      <c r="S67" s="177">
        <f t="shared" si="9"/>
        <v>28.54</v>
      </c>
      <c r="T67" s="160">
        <f t="shared" si="10"/>
        <v>1</v>
      </c>
      <c r="U67" s="160">
        <f t="shared" si="11"/>
        <v>28.54</v>
      </c>
      <c r="V67" s="190">
        <f t="shared" si="12"/>
        <v>1079.405632</v>
      </c>
      <c r="W67" s="177">
        <f t="shared" ref="W67:X67" si="52">C67/100</f>
        <v>1.06</v>
      </c>
      <c r="X67" s="177">
        <f t="shared" si="52"/>
        <v>2.23</v>
      </c>
      <c r="Y67" s="177">
        <f t="shared" si="14"/>
        <v>28.54</v>
      </c>
      <c r="Z67" s="191">
        <f t="shared" si="15"/>
        <v>67.462852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79</v>
      </c>
      <c r="C68" s="192">
        <v>106.0</v>
      </c>
      <c r="D68" s="192">
        <v>223.0</v>
      </c>
      <c r="E68" s="192">
        <v>2860.0</v>
      </c>
      <c r="F68" s="192">
        <f t="shared" si="5"/>
        <v>0</v>
      </c>
      <c r="G68" s="192">
        <f t="shared" si="6"/>
        <v>1081.67488</v>
      </c>
      <c r="H68" s="193">
        <f t="shared" si="7"/>
        <v>1081.67488</v>
      </c>
      <c r="I68" s="192">
        <v>1.0</v>
      </c>
      <c r="J68" s="194">
        <f t="shared" si="8"/>
        <v>1081.67488</v>
      </c>
      <c r="K68" s="139"/>
      <c r="L68" s="195"/>
      <c r="M68" s="196">
        <f t="shared" si="18"/>
        <v>1</v>
      </c>
      <c r="N68" s="196"/>
      <c r="O68" s="139"/>
      <c r="P68" s="139"/>
      <c r="Q68" s="177">
        <v>1070.0</v>
      </c>
      <c r="R68" s="189">
        <v>16.0</v>
      </c>
      <c r="S68" s="177">
        <f t="shared" si="9"/>
        <v>28.6</v>
      </c>
      <c r="T68" s="160">
        <f t="shared" si="10"/>
        <v>1</v>
      </c>
      <c r="U68" s="160">
        <f t="shared" si="11"/>
        <v>28.6</v>
      </c>
      <c r="V68" s="190">
        <f t="shared" si="12"/>
        <v>1081.67488</v>
      </c>
      <c r="W68" s="177">
        <f t="shared" ref="W68:X68" si="53">C68/100</f>
        <v>1.06</v>
      </c>
      <c r="X68" s="177">
        <f t="shared" si="53"/>
        <v>2.23</v>
      </c>
      <c r="Y68" s="177">
        <f t="shared" si="14"/>
        <v>28.6</v>
      </c>
      <c r="Z68" s="191">
        <f t="shared" si="15"/>
        <v>67.60468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82" t="s">
        <v>83</v>
      </c>
      <c r="C69" s="183">
        <v>72.0</v>
      </c>
      <c r="D69" s="183">
        <v>220.0</v>
      </c>
      <c r="E69" s="183">
        <v>186.0</v>
      </c>
      <c r="F69" s="183">
        <f t="shared" si="5"/>
        <v>0</v>
      </c>
      <c r="G69" s="183">
        <f t="shared" si="6"/>
        <v>91.33344</v>
      </c>
      <c r="H69" s="184">
        <f t="shared" si="7"/>
        <v>91.33344</v>
      </c>
      <c r="I69" s="183">
        <v>1.0</v>
      </c>
      <c r="J69" s="185">
        <f t="shared" si="8"/>
        <v>91.33344</v>
      </c>
      <c r="K69" s="186"/>
      <c r="L69" s="265"/>
      <c r="M69" s="266">
        <f t="shared" si="18"/>
        <v>1</v>
      </c>
      <c r="N69" s="266"/>
      <c r="O69" s="186"/>
      <c r="P69" s="186"/>
      <c r="Q69" s="187">
        <v>105.0</v>
      </c>
      <c r="R69" s="189">
        <v>31.0</v>
      </c>
      <c r="S69" s="177">
        <f t="shared" si="9"/>
        <v>1.86</v>
      </c>
      <c r="T69" s="160">
        <f t="shared" si="10"/>
        <v>1</v>
      </c>
      <c r="U69" s="160">
        <f t="shared" si="11"/>
        <v>1.86</v>
      </c>
      <c r="V69" s="190">
        <f t="shared" si="12"/>
        <v>91.33344</v>
      </c>
      <c r="W69" s="177">
        <f t="shared" ref="W69:X69" si="54">C69/100</f>
        <v>0.72</v>
      </c>
      <c r="X69" s="177">
        <f t="shared" si="54"/>
        <v>2.2</v>
      </c>
      <c r="Y69" s="177">
        <f t="shared" si="14"/>
        <v>1.86</v>
      </c>
      <c r="Z69" s="191">
        <f t="shared" si="15"/>
        <v>2.94624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83</v>
      </c>
      <c r="C70" s="192">
        <v>91.0</v>
      </c>
      <c r="D70" s="192">
        <v>220.0</v>
      </c>
      <c r="E70" s="192">
        <v>55.0</v>
      </c>
      <c r="F70" s="192">
        <f t="shared" si="5"/>
        <v>0</v>
      </c>
      <c r="G70" s="192">
        <f t="shared" si="6"/>
        <v>34.1341</v>
      </c>
      <c r="H70" s="193">
        <f t="shared" si="7"/>
        <v>34.1341</v>
      </c>
      <c r="I70" s="192">
        <v>1.0</v>
      </c>
      <c r="J70" s="194">
        <f t="shared" si="8"/>
        <v>34.1341</v>
      </c>
      <c r="K70" s="139"/>
      <c r="L70" s="195"/>
      <c r="M70" s="196"/>
      <c r="N70" s="196"/>
      <c r="O70" s="139"/>
      <c r="P70" s="139"/>
      <c r="Q70" s="177">
        <v>55.0</v>
      </c>
      <c r="R70" s="189">
        <v>31.0</v>
      </c>
      <c r="S70" s="177">
        <f t="shared" si="9"/>
        <v>0.55</v>
      </c>
      <c r="T70" s="160">
        <f t="shared" si="10"/>
        <v>1</v>
      </c>
      <c r="U70" s="160">
        <f t="shared" si="11"/>
        <v>0.55</v>
      </c>
      <c r="V70" s="190">
        <f t="shared" si="12"/>
        <v>34.1341</v>
      </c>
      <c r="W70" s="177">
        <f t="shared" ref="W70:X70" si="55">C70/100</f>
        <v>0.91</v>
      </c>
      <c r="X70" s="177">
        <f t="shared" si="55"/>
        <v>2.2</v>
      </c>
      <c r="Y70" s="177">
        <f t="shared" si="14"/>
        <v>0.55</v>
      </c>
      <c r="Z70" s="191">
        <f t="shared" si="15"/>
        <v>1.1011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83</v>
      </c>
      <c r="C71" s="192">
        <v>93.0</v>
      </c>
      <c r="D71" s="192">
        <v>221.0</v>
      </c>
      <c r="E71" s="192">
        <v>89.0</v>
      </c>
      <c r="F71" s="192">
        <f t="shared" si="5"/>
        <v>0</v>
      </c>
      <c r="G71" s="192">
        <f t="shared" si="6"/>
        <v>56.705727</v>
      </c>
      <c r="H71" s="193">
        <f t="shared" si="7"/>
        <v>56.705727</v>
      </c>
      <c r="I71" s="192">
        <v>1.0</v>
      </c>
      <c r="J71" s="194">
        <f t="shared" si="8"/>
        <v>56.705727</v>
      </c>
      <c r="K71" s="139"/>
      <c r="L71" s="195"/>
      <c r="M71" s="196"/>
      <c r="N71" s="196"/>
      <c r="O71" s="139"/>
      <c r="P71" s="139"/>
      <c r="Q71" s="177">
        <v>55.0</v>
      </c>
      <c r="R71" s="189">
        <v>31.0</v>
      </c>
      <c r="S71" s="177">
        <f t="shared" si="9"/>
        <v>0.89</v>
      </c>
      <c r="T71" s="160">
        <f t="shared" si="10"/>
        <v>1</v>
      </c>
      <c r="U71" s="160">
        <f t="shared" si="11"/>
        <v>0.89</v>
      </c>
      <c r="V71" s="190">
        <f t="shared" si="12"/>
        <v>56.705727</v>
      </c>
      <c r="W71" s="177">
        <f t="shared" ref="W71:X71" si="56">C71/100</f>
        <v>0.93</v>
      </c>
      <c r="X71" s="177">
        <f t="shared" si="56"/>
        <v>2.21</v>
      </c>
      <c r="Y71" s="177">
        <f t="shared" si="14"/>
        <v>0.89</v>
      </c>
      <c r="Z71" s="191">
        <f t="shared" si="15"/>
        <v>1.829217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83</v>
      </c>
      <c r="C72" s="192">
        <v>93.0</v>
      </c>
      <c r="D72" s="192">
        <v>219.0</v>
      </c>
      <c r="E72" s="192">
        <v>2813.0</v>
      </c>
      <c r="F72" s="192">
        <f t="shared" si="5"/>
        <v>0</v>
      </c>
      <c r="G72" s="192">
        <f t="shared" si="6"/>
        <v>1776.063501</v>
      </c>
      <c r="H72" s="193">
        <f t="shared" si="7"/>
        <v>1776.063501</v>
      </c>
      <c r="I72" s="192">
        <v>1.0</v>
      </c>
      <c r="J72" s="194">
        <f t="shared" si="8"/>
        <v>1776.063501</v>
      </c>
      <c r="K72" s="139"/>
      <c r="L72" s="195"/>
      <c r="M72" s="196"/>
      <c r="N72" s="196"/>
      <c r="O72" s="139"/>
      <c r="P72" s="139"/>
      <c r="Q72" s="177">
        <v>1780.0</v>
      </c>
      <c r="R72" s="189">
        <v>31.0</v>
      </c>
      <c r="S72" s="177">
        <f t="shared" si="9"/>
        <v>28.13</v>
      </c>
      <c r="T72" s="160">
        <f t="shared" si="10"/>
        <v>1</v>
      </c>
      <c r="U72" s="160">
        <f t="shared" si="11"/>
        <v>28.13</v>
      </c>
      <c r="V72" s="190">
        <f t="shared" si="12"/>
        <v>1776.063501</v>
      </c>
      <c r="W72" s="177">
        <f t="shared" ref="W72:X72" si="57">C72/100</f>
        <v>0.93</v>
      </c>
      <c r="X72" s="177">
        <f t="shared" si="57"/>
        <v>2.19</v>
      </c>
      <c r="Y72" s="177">
        <f t="shared" si="14"/>
        <v>28.13</v>
      </c>
      <c r="Z72" s="191">
        <f t="shared" si="15"/>
        <v>57.292371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83</v>
      </c>
      <c r="C73" s="192">
        <v>93.0</v>
      </c>
      <c r="D73" s="192">
        <v>219.0</v>
      </c>
      <c r="E73" s="192">
        <v>2863.0</v>
      </c>
      <c r="F73" s="192">
        <f t="shared" si="5"/>
        <v>0</v>
      </c>
      <c r="G73" s="192">
        <f t="shared" si="6"/>
        <v>1807.632351</v>
      </c>
      <c r="H73" s="193">
        <f t="shared" si="7"/>
        <v>1807.632351</v>
      </c>
      <c r="I73" s="192">
        <v>1.0</v>
      </c>
      <c r="J73" s="194">
        <f t="shared" si="8"/>
        <v>1807.632351</v>
      </c>
      <c r="K73" s="139"/>
      <c r="L73" s="195"/>
      <c r="M73" s="196"/>
      <c r="N73" s="196"/>
      <c r="O73" s="139"/>
      <c r="P73" s="139"/>
      <c r="Q73" s="177">
        <v>1830.0</v>
      </c>
      <c r="R73" s="189">
        <v>31.0</v>
      </c>
      <c r="S73" s="177">
        <f t="shared" si="9"/>
        <v>28.63</v>
      </c>
      <c r="T73" s="160">
        <f t="shared" si="10"/>
        <v>1</v>
      </c>
      <c r="U73" s="160">
        <f t="shared" si="11"/>
        <v>28.63</v>
      </c>
      <c r="V73" s="190">
        <f t="shared" si="12"/>
        <v>1807.632351</v>
      </c>
      <c r="W73" s="177">
        <f t="shared" ref="W73:X73" si="58">C73/100</f>
        <v>0.93</v>
      </c>
      <c r="X73" s="177">
        <f t="shared" si="58"/>
        <v>2.19</v>
      </c>
      <c r="Y73" s="177">
        <f t="shared" si="14"/>
        <v>28.63</v>
      </c>
      <c r="Z73" s="191">
        <f t="shared" si="15"/>
        <v>58.310721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82" t="s">
        <v>70</v>
      </c>
      <c r="C74" s="183">
        <v>96.0</v>
      </c>
      <c r="D74" s="183">
        <v>196.0</v>
      </c>
      <c r="E74" s="183">
        <v>172.0</v>
      </c>
      <c r="F74" s="183">
        <f t="shared" si="5"/>
        <v>0</v>
      </c>
      <c r="G74" s="183">
        <f t="shared" si="6"/>
        <v>56.63616</v>
      </c>
      <c r="H74" s="184">
        <f t="shared" si="7"/>
        <v>56.63616</v>
      </c>
      <c r="I74" s="183">
        <v>1.0</v>
      </c>
      <c r="J74" s="185">
        <f t="shared" si="8"/>
        <v>56.63616</v>
      </c>
      <c r="K74" s="186"/>
      <c r="L74" s="265"/>
      <c r="M74" s="266"/>
      <c r="N74" s="266"/>
      <c r="O74" s="186"/>
      <c r="P74" s="186"/>
      <c r="Q74" s="187">
        <v>57.0</v>
      </c>
      <c r="R74" s="141">
        <v>17.5</v>
      </c>
      <c r="S74" s="177">
        <f t="shared" si="9"/>
        <v>1.72</v>
      </c>
      <c r="T74" s="160">
        <f t="shared" si="10"/>
        <v>1</v>
      </c>
      <c r="U74" s="160">
        <f t="shared" si="11"/>
        <v>1.72</v>
      </c>
      <c r="V74" s="190">
        <f t="shared" si="12"/>
        <v>56.63616</v>
      </c>
      <c r="W74" s="177">
        <f t="shared" ref="W74:X74" si="59">C74/100</f>
        <v>0.96</v>
      </c>
      <c r="X74" s="177">
        <f t="shared" si="59"/>
        <v>1.96</v>
      </c>
      <c r="Y74" s="177">
        <f t="shared" si="14"/>
        <v>1.72</v>
      </c>
      <c r="Z74" s="191">
        <f t="shared" si="15"/>
        <v>3.236352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2" t="s">
        <v>70</v>
      </c>
      <c r="C75" s="192">
        <v>102.0</v>
      </c>
      <c r="D75" s="192">
        <v>196.0</v>
      </c>
      <c r="E75" s="192">
        <v>225.0</v>
      </c>
      <c r="F75" s="192">
        <f t="shared" si="5"/>
        <v>0</v>
      </c>
      <c r="G75" s="192">
        <f t="shared" si="6"/>
        <v>78.7185</v>
      </c>
      <c r="H75" s="193">
        <f t="shared" si="7"/>
        <v>78.7185</v>
      </c>
      <c r="I75" s="192">
        <v>1.0</v>
      </c>
      <c r="J75" s="194">
        <f t="shared" si="8"/>
        <v>78.7185</v>
      </c>
      <c r="K75" s="139"/>
      <c r="L75" s="195"/>
      <c r="M75" s="196"/>
      <c r="N75" s="196"/>
      <c r="O75" s="139"/>
      <c r="P75" s="139"/>
      <c r="Q75" s="177">
        <v>82.0</v>
      </c>
      <c r="R75" s="141">
        <v>17.5</v>
      </c>
      <c r="S75" s="177">
        <f t="shared" si="9"/>
        <v>2.25</v>
      </c>
      <c r="T75" s="160">
        <f t="shared" si="10"/>
        <v>1</v>
      </c>
      <c r="U75" s="160">
        <f t="shared" si="11"/>
        <v>2.25</v>
      </c>
      <c r="V75" s="190">
        <f t="shared" si="12"/>
        <v>78.7185</v>
      </c>
      <c r="W75" s="177">
        <f t="shared" ref="W75:X75" si="60">C75/100</f>
        <v>1.02</v>
      </c>
      <c r="X75" s="177">
        <f t="shared" si="60"/>
        <v>1.96</v>
      </c>
      <c r="Y75" s="177">
        <f t="shared" si="14"/>
        <v>2.25</v>
      </c>
      <c r="Z75" s="191">
        <f t="shared" si="15"/>
        <v>4.4982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2" t="s">
        <v>70</v>
      </c>
      <c r="C76" s="192">
        <v>100.0</v>
      </c>
      <c r="D76" s="192">
        <v>196.0</v>
      </c>
      <c r="E76" s="192">
        <v>65.0</v>
      </c>
      <c r="F76" s="192">
        <f t="shared" si="5"/>
        <v>0</v>
      </c>
      <c r="G76" s="192">
        <f t="shared" si="6"/>
        <v>22.295</v>
      </c>
      <c r="H76" s="193">
        <f t="shared" si="7"/>
        <v>22.295</v>
      </c>
      <c r="I76" s="192">
        <v>1.0</v>
      </c>
      <c r="J76" s="194">
        <f t="shared" si="8"/>
        <v>22.295</v>
      </c>
      <c r="K76" s="139"/>
      <c r="L76" s="195"/>
      <c r="M76" s="196"/>
      <c r="N76" s="196"/>
      <c r="O76" s="139"/>
      <c r="P76" s="139"/>
      <c r="Q76" s="177">
        <v>33.0</v>
      </c>
      <c r="R76" s="141">
        <v>17.5</v>
      </c>
      <c r="S76" s="177">
        <f t="shared" si="9"/>
        <v>0.65</v>
      </c>
      <c r="T76" s="160">
        <f t="shared" si="10"/>
        <v>1</v>
      </c>
      <c r="U76" s="160">
        <f t="shared" si="11"/>
        <v>0.65</v>
      </c>
      <c r="V76" s="190">
        <f t="shared" si="12"/>
        <v>22.295</v>
      </c>
      <c r="W76" s="177">
        <f t="shared" ref="W76:X76" si="61">C76/100</f>
        <v>1</v>
      </c>
      <c r="X76" s="177">
        <f t="shared" si="61"/>
        <v>1.96</v>
      </c>
      <c r="Y76" s="177">
        <f t="shared" si="14"/>
        <v>0.65</v>
      </c>
      <c r="Z76" s="191">
        <f t="shared" si="15"/>
        <v>1.274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2" t="s">
        <v>70</v>
      </c>
      <c r="C77" s="192">
        <v>103.0</v>
      </c>
      <c r="D77" s="192">
        <v>196.0</v>
      </c>
      <c r="E77" s="192">
        <v>68.0</v>
      </c>
      <c r="F77" s="192">
        <f t="shared" si="5"/>
        <v>0</v>
      </c>
      <c r="G77" s="192">
        <f t="shared" si="6"/>
        <v>24.02372</v>
      </c>
      <c r="H77" s="193">
        <f t="shared" si="7"/>
        <v>24.02372</v>
      </c>
      <c r="I77" s="192">
        <v>1.0</v>
      </c>
      <c r="J77" s="194">
        <f t="shared" si="8"/>
        <v>24.02372</v>
      </c>
      <c r="K77" s="139"/>
      <c r="L77" s="195"/>
      <c r="M77" s="196"/>
      <c r="N77" s="196"/>
      <c r="O77" s="139"/>
      <c r="P77" s="139"/>
      <c r="Q77" s="177">
        <v>33.0</v>
      </c>
      <c r="R77" s="141">
        <v>17.5</v>
      </c>
      <c r="S77" s="177">
        <f t="shared" si="9"/>
        <v>0.68</v>
      </c>
      <c r="T77" s="160">
        <f t="shared" si="10"/>
        <v>1</v>
      </c>
      <c r="U77" s="160">
        <f t="shared" si="11"/>
        <v>0.68</v>
      </c>
      <c r="V77" s="190">
        <f t="shared" si="12"/>
        <v>24.02372</v>
      </c>
      <c r="W77" s="177">
        <f t="shared" ref="W77:X77" si="62">C77/100</f>
        <v>1.03</v>
      </c>
      <c r="X77" s="177">
        <f t="shared" si="62"/>
        <v>1.96</v>
      </c>
      <c r="Y77" s="177">
        <f t="shared" si="14"/>
        <v>0.68</v>
      </c>
      <c r="Z77" s="191">
        <f t="shared" si="15"/>
        <v>1.372784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2" t="s">
        <v>70</v>
      </c>
      <c r="C78" s="192">
        <v>101.0</v>
      </c>
      <c r="D78" s="192">
        <v>195.0</v>
      </c>
      <c r="E78" s="192">
        <v>2793.0</v>
      </c>
      <c r="F78" s="192">
        <f t="shared" si="5"/>
        <v>0</v>
      </c>
      <c r="G78" s="192">
        <f t="shared" si="6"/>
        <v>962.6423625</v>
      </c>
      <c r="H78" s="193">
        <f t="shared" si="7"/>
        <v>962.6423625</v>
      </c>
      <c r="I78" s="192">
        <v>1.0</v>
      </c>
      <c r="J78" s="194">
        <f t="shared" si="8"/>
        <v>962.6423625</v>
      </c>
      <c r="K78" s="139"/>
      <c r="L78" s="195"/>
      <c r="M78" s="196"/>
      <c r="N78" s="196"/>
      <c r="O78" s="139"/>
      <c r="P78" s="139"/>
      <c r="Q78" s="177">
        <v>975.0</v>
      </c>
      <c r="R78" s="141">
        <v>17.5</v>
      </c>
      <c r="S78" s="177">
        <f t="shared" si="9"/>
        <v>27.93</v>
      </c>
      <c r="T78" s="160">
        <f t="shared" si="10"/>
        <v>1</v>
      </c>
      <c r="U78" s="160">
        <f t="shared" si="11"/>
        <v>27.93</v>
      </c>
      <c r="V78" s="190">
        <f t="shared" si="12"/>
        <v>962.6423625</v>
      </c>
      <c r="W78" s="177">
        <f t="shared" ref="W78:X78" si="63">C78/100</f>
        <v>1.01</v>
      </c>
      <c r="X78" s="177">
        <f t="shared" si="63"/>
        <v>1.95</v>
      </c>
      <c r="Y78" s="177">
        <f t="shared" si="14"/>
        <v>27.93</v>
      </c>
      <c r="Z78" s="191">
        <f t="shared" si="15"/>
        <v>55.008135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2" t="s">
        <v>70</v>
      </c>
      <c r="C79" s="192">
        <v>103.0</v>
      </c>
      <c r="D79" s="192">
        <v>195.0</v>
      </c>
      <c r="E79" s="192">
        <v>2880.0</v>
      </c>
      <c r="F79" s="192">
        <f t="shared" si="5"/>
        <v>0</v>
      </c>
      <c r="G79" s="192">
        <f t="shared" si="6"/>
        <v>1012.284</v>
      </c>
      <c r="H79" s="193">
        <f t="shared" si="7"/>
        <v>1012.284</v>
      </c>
      <c r="I79" s="192">
        <v>1.0</v>
      </c>
      <c r="J79" s="194">
        <f t="shared" si="8"/>
        <v>1012.284</v>
      </c>
      <c r="K79" s="139"/>
      <c r="L79" s="195"/>
      <c r="M79" s="196"/>
      <c r="N79" s="196"/>
      <c r="O79" s="139"/>
      <c r="P79" s="139"/>
      <c r="Q79" s="177">
        <v>1000.0</v>
      </c>
      <c r="R79" s="141">
        <v>17.5</v>
      </c>
      <c r="S79" s="177">
        <f t="shared" si="9"/>
        <v>28.8</v>
      </c>
      <c r="T79" s="160">
        <f t="shared" si="10"/>
        <v>1</v>
      </c>
      <c r="U79" s="160">
        <f t="shared" si="11"/>
        <v>28.8</v>
      </c>
      <c r="V79" s="190">
        <f t="shared" si="12"/>
        <v>1012.284</v>
      </c>
      <c r="W79" s="177">
        <f t="shared" ref="W79:X79" si="64">C79/100</f>
        <v>1.03</v>
      </c>
      <c r="X79" s="177">
        <f t="shared" si="64"/>
        <v>1.95</v>
      </c>
      <c r="Y79" s="177">
        <f t="shared" si="14"/>
        <v>28.8</v>
      </c>
      <c r="Z79" s="191">
        <f t="shared" si="15"/>
        <v>57.8448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2" t="s">
        <v>70</v>
      </c>
      <c r="C80" s="192">
        <v>104.0</v>
      </c>
      <c r="D80" s="192">
        <v>195.0</v>
      </c>
      <c r="E80" s="192">
        <v>2850.0</v>
      </c>
      <c r="F80" s="192">
        <f t="shared" si="5"/>
        <v>0</v>
      </c>
      <c r="G80" s="192">
        <f t="shared" si="6"/>
        <v>1011.465</v>
      </c>
      <c r="H80" s="193">
        <f t="shared" si="7"/>
        <v>1011.465</v>
      </c>
      <c r="I80" s="192">
        <v>1.0</v>
      </c>
      <c r="J80" s="194">
        <f t="shared" si="8"/>
        <v>1011.465</v>
      </c>
      <c r="K80" s="139"/>
      <c r="L80" s="195"/>
      <c r="M80" s="196"/>
      <c r="N80" s="196"/>
      <c r="O80" s="139"/>
      <c r="P80" s="139"/>
      <c r="Q80" s="177">
        <v>1000.0</v>
      </c>
      <c r="R80" s="141">
        <v>17.5</v>
      </c>
      <c r="S80" s="177">
        <f t="shared" si="9"/>
        <v>28.5</v>
      </c>
      <c r="T80" s="160">
        <f t="shared" si="10"/>
        <v>1</v>
      </c>
      <c r="U80" s="160">
        <f t="shared" si="11"/>
        <v>28.5</v>
      </c>
      <c r="V80" s="190">
        <f t="shared" si="12"/>
        <v>1011.465</v>
      </c>
      <c r="W80" s="177">
        <f t="shared" ref="W80:X80" si="65">C80/100</f>
        <v>1.04</v>
      </c>
      <c r="X80" s="177">
        <f t="shared" si="65"/>
        <v>1.95</v>
      </c>
      <c r="Y80" s="177">
        <f t="shared" si="14"/>
        <v>28.5</v>
      </c>
      <c r="Z80" s="191">
        <f t="shared" si="15"/>
        <v>57.798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177"/>
      <c r="C81" s="177"/>
      <c r="D81" s="177"/>
      <c r="E81" s="177"/>
      <c r="F81" s="177"/>
      <c r="G81" s="177"/>
      <c r="H81" s="180"/>
      <c r="I81" s="160"/>
      <c r="J81" s="202">
        <f>+Q123</f>
        <v>137.6</v>
      </c>
      <c r="K81" s="139"/>
      <c r="L81" s="139"/>
      <c r="M81" s="139"/>
      <c r="N81" s="139"/>
      <c r="O81" s="139"/>
      <c r="P81" s="139"/>
      <c r="Q81" s="139"/>
      <c r="R81" s="203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66">C81/100</f>
        <v>0</v>
      </c>
      <c r="X81" s="197">
        <f t="shared" si="66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/>
      <c r="B82" s="204"/>
      <c r="C82" s="204"/>
      <c r="D82" s="204"/>
      <c r="E82" s="204"/>
      <c r="F82" s="204"/>
      <c r="G82" s="204"/>
      <c r="H82" s="205"/>
      <c r="I82" s="206">
        <f>SUM(I32:I80)</f>
        <v>49</v>
      </c>
      <c r="J82" s="207">
        <f>SUM(J32:J81)</f>
        <v>34357.13834</v>
      </c>
      <c r="K82" s="208"/>
      <c r="L82" s="208"/>
      <c r="M82" s="208"/>
      <c r="N82" s="208"/>
      <c r="O82" s="208"/>
      <c r="P82" s="208"/>
      <c r="Q82" s="208"/>
      <c r="R82" s="141"/>
      <c r="S82" s="208">
        <f>SUMIFS($T$32:$T$80,$S$32:$S$80,"&gt;=3")</f>
        <v>25</v>
      </c>
      <c r="T82" s="208">
        <f t="shared" ref="T82:U82" si="67">SUM(T32:T80)</f>
        <v>49</v>
      </c>
      <c r="U82" s="208">
        <f t="shared" si="67"/>
        <v>743.48</v>
      </c>
      <c r="V82" s="208"/>
      <c r="W82" s="208"/>
      <c r="X82" s="208"/>
      <c r="Y82" s="208"/>
      <c r="Z82" s="209">
        <f>SUM(Z32:Z81)</f>
        <v>1587.865473</v>
      </c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208"/>
      <c r="AL82" s="208"/>
      <c r="AM82" s="208"/>
      <c r="AN82" s="208"/>
      <c r="AO82" s="208"/>
      <c r="AP82" s="208"/>
      <c r="AQ82" s="208"/>
      <c r="AR82" s="208"/>
      <c r="AS82" s="208"/>
      <c r="AT82" s="208"/>
    </row>
    <row r="83" ht="29.2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141"/>
      <c r="S83" s="201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9.2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203"/>
      <c r="S84" s="139"/>
      <c r="T84" s="139" t="s">
        <v>48</v>
      </c>
      <c r="U84" s="139" t="s">
        <v>59</v>
      </c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9.25" customHeight="1">
      <c r="A85" s="139"/>
      <c r="B85" s="139"/>
      <c r="C85" s="139"/>
      <c r="D85" s="139"/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39" t="s">
        <v>31</v>
      </c>
      <c r="T85" s="210">
        <f>SUMIFS($J$32:$J$80,$S$32:$S$80,"&gt;=3")</f>
        <v>33045.51446</v>
      </c>
      <c r="U85" s="211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 t="s">
        <v>32</v>
      </c>
      <c r="B86" s="139"/>
      <c r="C86" s="139"/>
      <c r="D86" s="139" t="s">
        <v>33</v>
      </c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141"/>
      <c r="S86" s="139" t="s">
        <v>34</v>
      </c>
      <c r="T86" s="212">
        <f>J82-T85</f>
        <v>1311.623888</v>
      </c>
      <c r="U86" s="211">
        <f>+SUMIFS($U$32:$U$80,$S$32:$S$80,"&gt;=3")</f>
        <v>714.84</v>
      </c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9.2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39"/>
      <c r="R87" s="203"/>
      <c r="S87" s="139"/>
      <c r="T87" s="213">
        <f>+I82</f>
        <v>49</v>
      </c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39.0" customHeight="1">
      <c r="A88" s="177"/>
      <c r="B88" s="160" t="s">
        <v>12</v>
      </c>
      <c r="C88" s="178" t="s">
        <v>60</v>
      </c>
      <c r="D88" s="52"/>
      <c r="E88" s="53"/>
      <c r="F88" s="179"/>
      <c r="G88" s="179"/>
      <c r="H88" s="180" t="s">
        <v>14</v>
      </c>
      <c r="I88" s="160" t="s">
        <v>15</v>
      </c>
      <c r="J88" s="160" t="s">
        <v>16</v>
      </c>
      <c r="K88" s="139"/>
      <c r="L88" s="139"/>
      <c r="M88" s="139"/>
      <c r="N88" s="139"/>
      <c r="O88" s="139"/>
      <c r="P88" s="139"/>
      <c r="Q88" s="139"/>
      <c r="R88" s="141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54">
        <v>1.0</v>
      </c>
      <c r="B89" s="214"/>
      <c r="C89" s="214"/>
      <c r="D89" s="214"/>
      <c r="E89" s="214"/>
      <c r="F89" s="214">
        <f t="shared" ref="F89:F102" si="68">1-VALUE(IF(RIGHT(B89, 1)="%", RIGHT(B89, 3), 0))</f>
        <v>1</v>
      </c>
      <c r="G89" s="214">
        <f t="shared" ref="G89:G102" si="69">+Q89*C89/100*D89/100*E89/100</f>
        <v>0</v>
      </c>
      <c r="H89" s="215">
        <f t="shared" ref="H89:H102" si="70">IF(F89=0, G89, F89*G89)</f>
        <v>0</v>
      </c>
      <c r="I89" s="214"/>
      <c r="J89" s="216"/>
      <c r="K89" s="139"/>
      <c r="L89" s="177">
        <f t="shared" ref="L89:L97" si="71">D89*25.4/1000</f>
        <v>0</v>
      </c>
      <c r="M89" s="160" t="str">
        <f t="shared" ref="M89:M93" si="72">+I89</f>
        <v/>
      </c>
      <c r="N89" s="160">
        <f t="shared" ref="N89:N93" si="73">M89*L89</f>
        <v>0</v>
      </c>
      <c r="O89" s="139"/>
      <c r="P89" s="139"/>
      <c r="Q89" s="139"/>
      <c r="R89" s="141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54">
        <v>2.0</v>
      </c>
      <c r="B90" s="214"/>
      <c r="C90" s="214"/>
      <c r="D90" s="214"/>
      <c r="E90" s="214"/>
      <c r="F90" s="214">
        <f t="shared" si="68"/>
        <v>1</v>
      </c>
      <c r="G90" s="214">
        <f t="shared" si="69"/>
        <v>0</v>
      </c>
      <c r="H90" s="215">
        <f t="shared" si="70"/>
        <v>0</v>
      </c>
      <c r="I90" s="214"/>
      <c r="J90" s="216">
        <f t="shared" ref="J90:J102" si="74">+I90*H90</f>
        <v>0</v>
      </c>
      <c r="K90" s="139"/>
      <c r="L90" s="177">
        <f t="shared" si="71"/>
        <v>0</v>
      </c>
      <c r="M90" s="160" t="str">
        <f t="shared" si="72"/>
        <v/>
      </c>
      <c r="N90" s="160">
        <f t="shared" si="73"/>
        <v>0</v>
      </c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3.0</v>
      </c>
      <c r="B91" s="217"/>
      <c r="C91" s="217"/>
      <c r="D91" s="217"/>
      <c r="E91" s="217"/>
      <c r="F91" s="217">
        <f t="shared" si="68"/>
        <v>1</v>
      </c>
      <c r="G91" s="217">
        <f t="shared" si="69"/>
        <v>0</v>
      </c>
      <c r="H91" s="218">
        <f t="shared" si="70"/>
        <v>0</v>
      </c>
      <c r="I91" s="217"/>
      <c r="J91" s="194">
        <f t="shared" si="74"/>
        <v>0</v>
      </c>
      <c r="K91" s="139"/>
      <c r="L91" s="177">
        <f t="shared" si="71"/>
        <v>0</v>
      </c>
      <c r="M91" s="160" t="str">
        <f t="shared" si="72"/>
        <v/>
      </c>
      <c r="N91" s="160">
        <f t="shared" si="73"/>
        <v>0</v>
      </c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4.0</v>
      </c>
      <c r="B92" s="217"/>
      <c r="C92" s="217"/>
      <c r="D92" s="217"/>
      <c r="E92" s="217"/>
      <c r="F92" s="217">
        <f t="shared" si="68"/>
        <v>1</v>
      </c>
      <c r="G92" s="217">
        <f t="shared" si="69"/>
        <v>0</v>
      </c>
      <c r="H92" s="218">
        <f t="shared" si="70"/>
        <v>0</v>
      </c>
      <c r="I92" s="217"/>
      <c r="J92" s="194">
        <f t="shared" si="74"/>
        <v>0</v>
      </c>
      <c r="K92" s="139"/>
      <c r="L92" s="177">
        <f t="shared" si="71"/>
        <v>0</v>
      </c>
      <c r="M92" s="160" t="str">
        <f t="shared" si="72"/>
        <v/>
      </c>
      <c r="N92" s="160">
        <f t="shared" si="73"/>
        <v>0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5.0</v>
      </c>
      <c r="B93" s="217"/>
      <c r="C93" s="217"/>
      <c r="D93" s="217"/>
      <c r="E93" s="217"/>
      <c r="F93" s="217">
        <f t="shared" si="68"/>
        <v>1</v>
      </c>
      <c r="G93" s="217">
        <f t="shared" si="69"/>
        <v>0</v>
      </c>
      <c r="H93" s="218">
        <f t="shared" si="70"/>
        <v>0</v>
      </c>
      <c r="I93" s="217"/>
      <c r="J93" s="194">
        <f t="shared" si="74"/>
        <v>0</v>
      </c>
      <c r="K93" s="139"/>
      <c r="L93" s="177">
        <f t="shared" si="71"/>
        <v>0</v>
      </c>
      <c r="M93" s="160" t="str">
        <f t="shared" si="72"/>
        <v/>
      </c>
      <c r="N93" s="160">
        <f t="shared" si="73"/>
        <v>0</v>
      </c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54">
        <v>6.0</v>
      </c>
      <c r="B94" s="217"/>
      <c r="C94" s="217"/>
      <c r="D94" s="217"/>
      <c r="E94" s="217"/>
      <c r="F94" s="217">
        <f t="shared" si="68"/>
        <v>1</v>
      </c>
      <c r="G94" s="217">
        <f t="shared" si="69"/>
        <v>0</v>
      </c>
      <c r="H94" s="218">
        <f t="shared" si="70"/>
        <v>0</v>
      </c>
      <c r="I94" s="217"/>
      <c r="J94" s="194">
        <f t="shared" si="74"/>
        <v>0</v>
      </c>
      <c r="K94" s="139"/>
      <c r="L94" s="139">
        <f t="shared" si="71"/>
        <v>0</v>
      </c>
      <c r="M94" s="220"/>
      <c r="N94" s="220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54">
        <v>7.0</v>
      </c>
      <c r="B95" s="217"/>
      <c r="C95" s="217"/>
      <c r="D95" s="217"/>
      <c r="E95" s="217"/>
      <c r="F95" s="217">
        <f t="shared" si="68"/>
        <v>1</v>
      </c>
      <c r="G95" s="217">
        <f t="shared" si="69"/>
        <v>0</v>
      </c>
      <c r="H95" s="218">
        <f t="shared" si="70"/>
        <v>0</v>
      </c>
      <c r="I95" s="217"/>
      <c r="J95" s="194">
        <f t="shared" si="74"/>
        <v>0</v>
      </c>
      <c r="K95" s="139"/>
      <c r="L95" s="139">
        <f t="shared" si="71"/>
        <v>0</v>
      </c>
      <c r="M95" s="220"/>
      <c r="N95" s="220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54">
        <v>8.0</v>
      </c>
      <c r="B96" s="217"/>
      <c r="C96" s="217"/>
      <c r="D96" s="217"/>
      <c r="E96" s="217"/>
      <c r="F96" s="217">
        <f t="shared" si="68"/>
        <v>1</v>
      </c>
      <c r="G96" s="217">
        <f t="shared" si="69"/>
        <v>0</v>
      </c>
      <c r="H96" s="218">
        <f t="shared" si="70"/>
        <v>0</v>
      </c>
      <c r="I96" s="217"/>
      <c r="J96" s="194">
        <f t="shared" si="74"/>
        <v>0</v>
      </c>
      <c r="K96" s="139"/>
      <c r="L96" s="139">
        <f t="shared" si="71"/>
        <v>0</v>
      </c>
      <c r="M96" s="220"/>
      <c r="N96" s="220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54">
        <v>9.0</v>
      </c>
      <c r="B97" s="217"/>
      <c r="C97" s="217"/>
      <c r="D97" s="217"/>
      <c r="E97" s="217"/>
      <c r="F97" s="217">
        <f t="shared" si="68"/>
        <v>1</v>
      </c>
      <c r="G97" s="217">
        <f t="shared" si="69"/>
        <v>0</v>
      </c>
      <c r="H97" s="218">
        <f t="shared" si="70"/>
        <v>0</v>
      </c>
      <c r="I97" s="217"/>
      <c r="J97" s="194">
        <f t="shared" si="74"/>
        <v>0</v>
      </c>
      <c r="K97" s="139"/>
      <c r="L97" s="139">
        <f t="shared" si="71"/>
        <v>0</v>
      </c>
      <c r="M97" s="220"/>
      <c r="N97" s="220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54">
        <v>10.0</v>
      </c>
      <c r="B98" s="192"/>
      <c r="C98" s="192"/>
      <c r="D98" s="192"/>
      <c r="E98" s="192"/>
      <c r="F98" s="192">
        <f t="shared" si="68"/>
        <v>1</v>
      </c>
      <c r="G98" s="192">
        <f t="shared" si="69"/>
        <v>0</v>
      </c>
      <c r="H98" s="193">
        <f t="shared" si="70"/>
        <v>0</v>
      </c>
      <c r="I98" s="192"/>
      <c r="J98" s="194">
        <f t="shared" si="74"/>
        <v>0</v>
      </c>
      <c r="K98" s="139"/>
      <c r="L98" s="139"/>
      <c r="M98" s="220"/>
      <c r="N98" s="220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54">
        <v>11.0</v>
      </c>
      <c r="B99" s="192"/>
      <c r="C99" s="192"/>
      <c r="D99" s="192"/>
      <c r="E99" s="192"/>
      <c r="F99" s="192">
        <f t="shared" si="68"/>
        <v>1</v>
      </c>
      <c r="G99" s="192">
        <f t="shared" si="69"/>
        <v>0</v>
      </c>
      <c r="H99" s="193">
        <f t="shared" si="70"/>
        <v>0</v>
      </c>
      <c r="I99" s="192"/>
      <c r="J99" s="194">
        <f t="shared" si="74"/>
        <v>0</v>
      </c>
      <c r="K99" s="139"/>
      <c r="L99" s="139"/>
      <c r="M99" s="220"/>
      <c r="N99" s="220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54">
        <v>12.0</v>
      </c>
      <c r="B100" s="192"/>
      <c r="C100" s="192"/>
      <c r="D100" s="192"/>
      <c r="E100" s="192"/>
      <c r="F100" s="192">
        <f t="shared" si="68"/>
        <v>1</v>
      </c>
      <c r="G100" s="192">
        <f t="shared" si="69"/>
        <v>0</v>
      </c>
      <c r="H100" s="193">
        <f t="shared" si="70"/>
        <v>0</v>
      </c>
      <c r="I100" s="192"/>
      <c r="J100" s="194">
        <f t="shared" si="74"/>
        <v>0</v>
      </c>
      <c r="K100" s="139"/>
      <c r="L100" s="139"/>
      <c r="M100" s="220"/>
      <c r="N100" s="220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54">
        <v>13.0</v>
      </c>
      <c r="B101" s="192"/>
      <c r="C101" s="192"/>
      <c r="D101" s="192"/>
      <c r="E101" s="192"/>
      <c r="F101" s="192">
        <f t="shared" si="68"/>
        <v>1</v>
      </c>
      <c r="G101" s="192">
        <f t="shared" si="69"/>
        <v>0</v>
      </c>
      <c r="H101" s="193">
        <f t="shared" si="70"/>
        <v>0</v>
      </c>
      <c r="I101" s="192"/>
      <c r="J101" s="194">
        <f t="shared" si="74"/>
        <v>0</v>
      </c>
      <c r="K101" s="139"/>
      <c r="L101" s="139"/>
      <c r="M101" s="220"/>
      <c r="N101" s="220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54">
        <v>14.0</v>
      </c>
      <c r="B102" s="192"/>
      <c r="C102" s="192"/>
      <c r="D102" s="192"/>
      <c r="E102" s="192"/>
      <c r="F102" s="192">
        <f t="shared" si="68"/>
        <v>1</v>
      </c>
      <c r="G102" s="192">
        <f t="shared" si="69"/>
        <v>0</v>
      </c>
      <c r="H102" s="193">
        <f t="shared" si="70"/>
        <v>0</v>
      </c>
      <c r="I102" s="192"/>
      <c r="J102" s="194">
        <f t="shared" si="74"/>
        <v>0</v>
      </c>
      <c r="K102" s="139"/>
      <c r="L102" s="139"/>
      <c r="M102" s="220"/>
      <c r="N102" s="220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/>
      <c r="B103" s="195"/>
      <c r="C103" s="195"/>
      <c r="D103" s="195"/>
      <c r="E103" s="195"/>
      <c r="F103" s="195"/>
      <c r="G103" s="195"/>
      <c r="H103" s="221" t="s">
        <v>38</v>
      </c>
      <c r="I103" s="195"/>
      <c r="J103" s="222">
        <f>SUM(J89:J102)</f>
        <v>0</v>
      </c>
      <c r="K103" s="139"/>
      <c r="L103" s="139"/>
      <c r="M103" s="139"/>
      <c r="N103" s="139"/>
      <c r="O103" s="139"/>
      <c r="P103" s="139"/>
      <c r="Q103" s="139"/>
      <c r="R103" s="141"/>
      <c r="S103" s="223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74"/>
      <c r="B104" s="144"/>
      <c r="C104" s="144"/>
      <c r="D104" s="144"/>
      <c r="E104" s="144"/>
      <c r="F104" s="144"/>
      <c r="G104" s="144"/>
      <c r="H104" s="145"/>
      <c r="I104" s="144"/>
      <c r="J104" s="175"/>
      <c r="K104" s="139"/>
      <c r="L104" s="139"/>
      <c r="M104" s="139"/>
      <c r="N104" s="139"/>
      <c r="O104" s="139"/>
      <c r="P104" s="139"/>
      <c r="Q104" s="139"/>
      <c r="R104" s="141"/>
      <c r="S104" s="223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223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223"/>
      <c r="S106" s="223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139" t="s">
        <v>39</v>
      </c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23"/>
      <c r="S107" s="223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39"/>
      <c r="R108" s="223"/>
      <c r="S108" s="223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42.0" customHeight="1">
      <c r="A109" s="177"/>
      <c r="B109" s="160" t="s">
        <v>12</v>
      </c>
      <c r="C109" s="178" t="s">
        <v>61</v>
      </c>
      <c r="D109" s="52"/>
      <c r="E109" s="53"/>
      <c r="F109" s="224"/>
      <c r="G109" s="224"/>
      <c r="H109" s="180" t="s">
        <v>14</v>
      </c>
      <c r="I109" s="225" t="s">
        <v>15</v>
      </c>
      <c r="J109" s="160" t="s">
        <v>16</v>
      </c>
      <c r="K109" s="139"/>
      <c r="L109" s="139"/>
      <c r="M109" s="139"/>
      <c r="N109" s="139"/>
      <c r="O109" s="139"/>
      <c r="P109" s="139"/>
      <c r="Q109" s="139"/>
      <c r="R109" s="223"/>
      <c r="S109" s="223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1.0</v>
      </c>
      <c r="B110" s="182" t="s">
        <v>66</v>
      </c>
      <c r="C110" s="198"/>
      <c r="D110" s="198"/>
      <c r="E110" s="198"/>
      <c r="F110" s="198"/>
      <c r="G110" s="198"/>
      <c r="H110" s="226">
        <v>37.0</v>
      </c>
      <c r="I110" s="198">
        <v>1.0</v>
      </c>
      <c r="J110" s="194">
        <f t="shared" ref="J110:J121" si="75">+I110*H110</f>
        <v>37</v>
      </c>
      <c r="K110" s="177"/>
      <c r="L110" s="177"/>
      <c r="M110" s="177"/>
      <c r="N110" s="177"/>
      <c r="O110" s="177"/>
      <c r="P110" s="177"/>
      <c r="Q110" s="227"/>
      <c r="R110" s="223"/>
      <c r="S110" s="223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2.0</v>
      </c>
      <c r="B111" s="192" t="s">
        <v>66</v>
      </c>
      <c r="C111" s="198"/>
      <c r="D111" s="198"/>
      <c r="E111" s="198"/>
      <c r="F111" s="198"/>
      <c r="G111" s="198"/>
      <c r="H111" s="226">
        <v>24.0</v>
      </c>
      <c r="I111" s="198">
        <v>1.0</v>
      </c>
      <c r="J111" s="194">
        <f t="shared" si="75"/>
        <v>24</v>
      </c>
      <c r="K111" s="177"/>
      <c r="L111" s="177"/>
      <c r="M111" s="177"/>
      <c r="N111" s="177"/>
      <c r="O111" s="177"/>
      <c r="P111" s="177"/>
      <c r="Q111" s="227"/>
      <c r="R111" s="223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3.0</v>
      </c>
      <c r="B112" s="182" t="s">
        <v>55</v>
      </c>
      <c r="C112" s="198"/>
      <c r="D112" s="198"/>
      <c r="E112" s="198"/>
      <c r="F112" s="198"/>
      <c r="G112" s="198"/>
      <c r="H112" s="226">
        <v>34.0</v>
      </c>
      <c r="I112" s="198">
        <v>1.0</v>
      </c>
      <c r="J112" s="194">
        <f t="shared" si="75"/>
        <v>34</v>
      </c>
      <c r="K112" s="177"/>
      <c r="L112" s="177"/>
      <c r="M112" s="177"/>
      <c r="N112" s="177"/>
      <c r="O112" s="177"/>
      <c r="P112" s="177"/>
      <c r="Q112" s="227"/>
      <c r="R112" s="223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4.0</v>
      </c>
      <c r="B113" s="192" t="s">
        <v>55</v>
      </c>
      <c r="C113" s="198"/>
      <c r="D113" s="198"/>
      <c r="E113" s="198"/>
      <c r="F113" s="198"/>
      <c r="G113" s="198"/>
      <c r="H113" s="226">
        <v>21.0</v>
      </c>
      <c r="I113" s="198">
        <v>1.0</v>
      </c>
      <c r="J113" s="194">
        <f t="shared" si="75"/>
        <v>21</v>
      </c>
      <c r="K113" s="177"/>
      <c r="L113" s="177"/>
      <c r="M113" s="177"/>
      <c r="N113" s="177"/>
      <c r="O113" s="177"/>
      <c r="P113" s="177"/>
      <c r="Q113" s="227"/>
      <c r="R113" s="223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5.0</v>
      </c>
      <c r="B114" s="182" t="s">
        <v>85</v>
      </c>
      <c r="C114" s="198"/>
      <c r="D114" s="198"/>
      <c r="E114" s="198"/>
      <c r="F114" s="198"/>
      <c r="G114" s="198"/>
      <c r="H114" s="226">
        <v>27.0</v>
      </c>
      <c r="I114" s="198">
        <v>1.0</v>
      </c>
      <c r="J114" s="194">
        <f t="shared" si="75"/>
        <v>27</v>
      </c>
      <c r="K114" s="177"/>
      <c r="L114" s="177"/>
      <c r="M114" s="177"/>
      <c r="N114" s="177"/>
      <c r="O114" s="177"/>
      <c r="P114" s="177"/>
      <c r="Q114" s="227"/>
      <c r="R114" s="223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6.0</v>
      </c>
      <c r="B115" s="192" t="s">
        <v>85</v>
      </c>
      <c r="C115" s="198"/>
      <c r="D115" s="198"/>
      <c r="E115" s="198"/>
      <c r="F115" s="198"/>
      <c r="G115" s="198"/>
      <c r="H115" s="226">
        <v>31.0</v>
      </c>
      <c r="I115" s="198">
        <v>1.0</v>
      </c>
      <c r="J115" s="194">
        <f t="shared" si="75"/>
        <v>31</v>
      </c>
      <c r="K115" s="177"/>
      <c r="L115" s="177"/>
      <c r="M115" s="177"/>
      <c r="N115" s="177"/>
      <c r="O115" s="177"/>
      <c r="P115" s="177"/>
      <c r="Q115" s="227"/>
      <c r="R115" s="223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7.0</v>
      </c>
      <c r="B116" s="182" t="s">
        <v>79</v>
      </c>
      <c r="C116" s="198"/>
      <c r="D116" s="198"/>
      <c r="E116" s="198"/>
      <c r="F116" s="198"/>
      <c r="G116" s="198"/>
      <c r="H116" s="226">
        <v>27.0</v>
      </c>
      <c r="I116" s="198">
        <v>1.0</v>
      </c>
      <c r="J116" s="194">
        <f t="shared" si="75"/>
        <v>27</v>
      </c>
      <c r="K116" s="177"/>
      <c r="L116" s="177"/>
      <c r="M116" s="177"/>
      <c r="N116" s="177"/>
      <c r="O116" s="177"/>
      <c r="P116" s="177"/>
      <c r="Q116" s="227"/>
      <c r="R116" s="223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8.0</v>
      </c>
      <c r="B117" s="192" t="s">
        <v>79</v>
      </c>
      <c r="C117" s="198"/>
      <c r="D117" s="198"/>
      <c r="E117" s="198"/>
      <c r="F117" s="198"/>
      <c r="G117" s="198"/>
      <c r="H117" s="226">
        <v>22.0</v>
      </c>
      <c r="I117" s="198">
        <v>1.0</v>
      </c>
      <c r="J117" s="194">
        <f t="shared" si="75"/>
        <v>22</v>
      </c>
      <c r="K117" s="177"/>
      <c r="L117" s="177"/>
      <c r="M117" s="177"/>
      <c r="N117" s="177"/>
      <c r="O117" s="177"/>
      <c r="P117" s="177"/>
      <c r="Q117" s="227"/>
      <c r="R117" s="223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customHeight="1">
      <c r="A118" s="160">
        <v>9.0</v>
      </c>
      <c r="B118" s="182" t="s">
        <v>83</v>
      </c>
      <c r="C118" s="198"/>
      <c r="D118" s="198"/>
      <c r="E118" s="198"/>
      <c r="F118" s="198"/>
      <c r="G118" s="198"/>
      <c r="H118" s="226">
        <v>44.0</v>
      </c>
      <c r="I118" s="198">
        <v>1.0</v>
      </c>
      <c r="J118" s="194">
        <f t="shared" si="75"/>
        <v>44</v>
      </c>
      <c r="K118" s="177"/>
      <c r="L118" s="177"/>
      <c r="M118" s="177"/>
      <c r="N118" s="177"/>
      <c r="O118" s="177"/>
      <c r="P118" s="177"/>
      <c r="Q118" s="227"/>
      <c r="R118" s="223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>
        <v>10.0</v>
      </c>
      <c r="B119" s="192" t="s">
        <v>83</v>
      </c>
      <c r="C119" s="198"/>
      <c r="D119" s="198"/>
      <c r="E119" s="198"/>
      <c r="F119" s="198"/>
      <c r="G119" s="198"/>
      <c r="H119" s="226">
        <v>42.0</v>
      </c>
      <c r="I119" s="198">
        <v>1.0</v>
      </c>
      <c r="J119" s="194">
        <f t="shared" si="75"/>
        <v>42</v>
      </c>
      <c r="K119" s="177"/>
      <c r="L119" s="177"/>
      <c r="M119" s="177"/>
      <c r="N119" s="177"/>
      <c r="O119" s="177"/>
      <c r="P119" s="177"/>
      <c r="Q119" s="227"/>
      <c r="R119" s="223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11.0</v>
      </c>
      <c r="B120" s="182" t="s">
        <v>70</v>
      </c>
      <c r="C120" s="198"/>
      <c r="D120" s="198"/>
      <c r="E120" s="198"/>
      <c r="F120" s="198"/>
      <c r="G120" s="198"/>
      <c r="H120" s="226">
        <v>20.0</v>
      </c>
      <c r="I120" s="198">
        <v>1.0</v>
      </c>
      <c r="J120" s="194">
        <f t="shared" si="75"/>
        <v>20</v>
      </c>
      <c r="K120" s="177"/>
      <c r="L120" s="177"/>
      <c r="M120" s="177"/>
      <c r="N120" s="177"/>
      <c r="O120" s="177"/>
      <c r="P120" s="177"/>
      <c r="Q120" s="227"/>
      <c r="R120" s="223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12.0</v>
      </c>
      <c r="B121" s="192" t="s">
        <v>70</v>
      </c>
      <c r="C121" s="198"/>
      <c r="D121" s="198"/>
      <c r="E121" s="198"/>
      <c r="F121" s="198"/>
      <c r="G121" s="198"/>
      <c r="H121" s="226">
        <v>15.0</v>
      </c>
      <c r="I121" s="198">
        <v>1.0</v>
      </c>
      <c r="J121" s="194">
        <f t="shared" si="75"/>
        <v>15</v>
      </c>
      <c r="K121" s="177"/>
      <c r="L121" s="177"/>
      <c r="M121" s="177"/>
      <c r="N121" s="177"/>
      <c r="O121" s="177"/>
      <c r="P121" s="177"/>
      <c r="Q121" s="227"/>
      <c r="R121" s="223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 t="s">
        <v>38</v>
      </c>
      <c r="I122" s="139"/>
      <c r="J122" s="232">
        <f>SUM(J110:J121)</f>
        <v>344</v>
      </c>
      <c r="K122" s="233"/>
      <c r="L122" s="233"/>
      <c r="M122" s="233"/>
      <c r="N122" s="233"/>
      <c r="O122" s="233"/>
      <c r="P122" s="233"/>
      <c r="Q122" s="233"/>
      <c r="R122" s="139"/>
      <c r="S122" s="223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44"/>
      <c r="B123" s="144"/>
      <c r="C123" s="144"/>
      <c r="D123" s="144"/>
      <c r="E123" s="144"/>
      <c r="F123" s="144"/>
      <c r="G123" s="144"/>
      <c r="H123" s="145"/>
      <c r="I123" s="173"/>
      <c r="J123" s="204">
        <f>+J122*60%</f>
        <v>206.4</v>
      </c>
      <c r="K123" s="204"/>
      <c r="L123" s="204"/>
      <c r="M123" s="204"/>
      <c r="N123" s="204"/>
      <c r="O123" s="204"/>
      <c r="P123" s="204"/>
      <c r="Q123" s="204">
        <f>+J122*40%</f>
        <v>137.6</v>
      </c>
      <c r="R123" s="139"/>
      <c r="S123" s="223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223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223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9.5" customHeight="1">
      <c r="A126" s="234" t="s">
        <v>41</v>
      </c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223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57.0" customHeight="1">
      <c r="A127" s="235"/>
      <c r="B127" s="236" t="s">
        <v>42</v>
      </c>
      <c r="C127" s="236" t="s">
        <v>43</v>
      </c>
      <c r="D127" s="236" t="s">
        <v>44</v>
      </c>
      <c r="E127" s="236" t="s">
        <v>45</v>
      </c>
      <c r="F127" s="236"/>
      <c r="G127" s="236"/>
      <c r="H127" s="237" t="s">
        <v>46</v>
      </c>
      <c r="I127" s="238" t="s">
        <v>47</v>
      </c>
      <c r="J127" s="139"/>
      <c r="K127" s="139"/>
      <c r="L127" s="139"/>
      <c r="M127" s="139"/>
      <c r="N127" s="139"/>
      <c r="O127" s="139"/>
      <c r="P127" s="139"/>
      <c r="Q127" s="139"/>
      <c r="R127" s="141"/>
      <c r="S127" s="223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239" t="s">
        <v>48</v>
      </c>
      <c r="B128" s="240">
        <f>+E25</f>
        <v>38792.0016</v>
      </c>
      <c r="C128" s="241">
        <f>+J82</f>
        <v>34357.13834</v>
      </c>
      <c r="D128" s="241">
        <f>+J103</f>
        <v>0</v>
      </c>
      <c r="E128" s="242">
        <f>J123</f>
        <v>206.4</v>
      </c>
      <c r="F128" s="242"/>
      <c r="G128" s="242"/>
      <c r="H128" s="243">
        <f>+I25</f>
        <v>3209.832538</v>
      </c>
      <c r="I128" s="244">
        <f>+B128-C128-D128-E128-H128</f>
        <v>1018.630718</v>
      </c>
      <c r="J128" s="139"/>
      <c r="K128" s="139"/>
      <c r="L128" s="139"/>
      <c r="M128" s="139"/>
      <c r="N128" s="139"/>
      <c r="O128" s="139"/>
      <c r="P128" s="139"/>
      <c r="Q128" s="139"/>
      <c r="R128" s="141"/>
      <c r="S128" s="223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9.5" customHeight="1">
      <c r="A129" s="245" t="s">
        <v>49</v>
      </c>
      <c r="B129" s="246"/>
      <c r="C129" s="247">
        <f>+C128/B128</f>
        <v>0.8856758333</v>
      </c>
      <c r="D129" s="247">
        <f>+D128/B128</f>
        <v>0</v>
      </c>
      <c r="E129" s="247">
        <f>+E128/B128</f>
        <v>0.005320684458</v>
      </c>
      <c r="F129" s="247"/>
      <c r="G129" s="247"/>
      <c r="H129" s="248">
        <f>+H128/B128</f>
        <v>0.08274470009</v>
      </c>
      <c r="I129" s="249">
        <f>+I128/B128</f>
        <v>0.02625878213</v>
      </c>
      <c r="J129" s="139"/>
      <c r="K129" s="139"/>
      <c r="L129" s="139"/>
      <c r="M129" s="139"/>
      <c r="N129" s="139"/>
      <c r="O129" s="139"/>
      <c r="P129" s="139"/>
      <c r="Q129" s="139"/>
      <c r="R129" s="141"/>
      <c r="S129" s="223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9.5" customHeight="1">
      <c r="A130" s="163"/>
      <c r="B130" s="220"/>
      <c r="C130" s="250"/>
      <c r="D130" s="250"/>
      <c r="E130" s="250"/>
      <c r="F130" s="250"/>
      <c r="G130" s="250"/>
      <c r="H130" s="251"/>
      <c r="I130" s="252"/>
      <c r="J130" s="139"/>
      <c r="K130" s="139"/>
      <c r="L130" s="139"/>
      <c r="M130" s="139"/>
      <c r="N130" s="139"/>
      <c r="O130" s="139"/>
      <c r="P130" s="139"/>
      <c r="Q130" s="139"/>
      <c r="R130" s="141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253"/>
      <c r="B131" s="254"/>
      <c r="C131" s="254"/>
      <c r="D131" s="254" t="s">
        <v>50</v>
      </c>
      <c r="E131" s="254" t="s">
        <v>48</v>
      </c>
      <c r="F131" s="254"/>
      <c r="G131" s="254"/>
      <c r="H131" s="255">
        <f>+D128+E128+H128+I128</f>
        <v>4434.863257</v>
      </c>
      <c r="I131" s="256"/>
      <c r="J131" s="139"/>
      <c r="K131" s="139"/>
      <c r="L131" s="139"/>
      <c r="M131" s="139"/>
      <c r="N131" s="139"/>
      <c r="O131" s="139"/>
      <c r="P131" s="139"/>
      <c r="Q131" s="139"/>
      <c r="R131" s="141"/>
      <c r="S131" s="140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257"/>
      <c r="B132" s="139"/>
      <c r="C132" s="139"/>
      <c r="D132" s="139"/>
      <c r="E132" s="139" t="s">
        <v>49</v>
      </c>
      <c r="F132" s="139"/>
      <c r="G132" s="139"/>
      <c r="H132" s="251">
        <f>+H131/B128</f>
        <v>0.1143241667</v>
      </c>
      <c r="I132" s="258"/>
      <c r="J132" s="139"/>
      <c r="K132" s="139"/>
      <c r="L132" s="139"/>
      <c r="M132" s="139"/>
      <c r="N132" s="139"/>
      <c r="O132" s="139"/>
      <c r="P132" s="139"/>
      <c r="Q132" s="139"/>
      <c r="R132" s="141"/>
      <c r="S132" s="140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257"/>
      <c r="B133" s="139"/>
      <c r="C133" s="139" t="s">
        <v>51</v>
      </c>
      <c r="D133" s="139"/>
      <c r="E133" s="139"/>
      <c r="F133" s="139"/>
      <c r="G133" s="139"/>
      <c r="H133" s="140"/>
      <c r="I133" s="258"/>
      <c r="J133" s="139"/>
      <c r="K133" s="139"/>
      <c r="L133" s="139"/>
      <c r="M133" s="139"/>
      <c r="N133" s="139"/>
      <c r="O133" s="139"/>
      <c r="P133" s="139"/>
      <c r="Q133" s="139"/>
      <c r="R133" s="141"/>
      <c r="S133" s="140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8.75" customHeight="1">
      <c r="A134" s="257"/>
      <c r="B134" s="139"/>
      <c r="C134" s="139"/>
      <c r="D134" s="139" t="s">
        <v>52</v>
      </c>
      <c r="E134" s="139"/>
      <c r="F134" s="139"/>
      <c r="G134" s="139"/>
      <c r="H134" s="140">
        <f>+H133*(H131-H128)</f>
        <v>0</v>
      </c>
      <c r="I134" s="258"/>
      <c r="J134" s="139"/>
      <c r="K134" s="139"/>
      <c r="L134" s="139"/>
      <c r="M134" s="139"/>
      <c r="N134" s="139"/>
      <c r="O134" s="139"/>
      <c r="P134" s="139"/>
      <c r="Q134" s="139"/>
      <c r="R134" s="141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9.5" customHeight="1">
      <c r="A135" s="259"/>
      <c r="B135" s="260"/>
      <c r="C135" s="260"/>
      <c r="D135" s="260"/>
      <c r="E135" s="260"/>
      <c r="F135" s="260"/>
      <c r="G135" s="260"/>
      <c r="H135" s="261"/>
      <c r="I135" s="262"/>
      <c r="J135" s="139"/>
      <c r="K135" s="139"/>
      <c r="L135" s="139"/>
      <c r="M135" s="139"/>
      <c r="N135" s="139"/>
      <c r="O135" s="139"/>
      <c r="P135" s="139"/>
      <c r="Q135" s="139"/>
      <c r="R135" s="141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139"/>
      <c r="B136" s="139"/>
      <c r="C136" s="139"/>
      <c r="D136" s="139"/>
      <c r="E136" s="139"/>
      <c r="F136" s="139"/>
      <c r="G136" s="139"/>
      <c r="H136" s="140"/>
      <c r="I136" s="139"/>
      <c r="J136" s="139"/>
      <c r="K136" s="139"/>
      <c r="L136" s="139"/>
      <c r="M136" s="139"/>
      <c r="N136" s="139"/>
      <c r="O136" s="139"/>
      <c r="P136" s="139"/>
      <c r="Q136" s="139"/>
      <c r="R136" s="141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39"/>
      <c r="R137" s="141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139"/>
      <c r="B138" s="139"/>
      <c r="C138" s="139"/>
      <c r="D138" s="139"/>
      <c r="E138" s="139"/>
      <c r="F138" s="139"/>
      <c r="G138" s="139"/>
      <c r="H138" s="140"/>
      <c r="I138" s="139"/>
      <c r="J138" s="139"/>
      <c r="K138" s="139"/>
      <c r="L138" s="139"/>
      <c r="M138" s="139"/>
      <c r="N138" s="139"/>
      <c r="O138" s="139"/>
      <c r="P138" s="139"/>
      <c r="Q138" s="139"/>
      <c r="R138" s="141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7"/>
      <c r="R139" s="264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7"/>
      <c r="R140" s="264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7"/>
      <c r="R141" s="264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7"/>
      <c r="R142" s="264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7"/>
      <c r="R143" s="264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7"/>
      <c r="R144" s="264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7"/>
      <c r="R145" s="264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7"/>
      <c r="R146" s="264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7"/>
      <c r="R147" s="264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7"/>
      <c r="R148" s="264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7"/>
      <c r="R149" s="264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7"/>
      <c r="R150" s="264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7"/>
      <c r="R151" s="264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7"/>
      <c r="R152" s="264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7"/>
      <c r="R153" s="264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7"/>
      <c r="R154" s="264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7"/>
      <c r="R155" s="264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7"/>
      <c r="R156" s="264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7"/>
      <c r="R157" s="264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7"/>
      <c r="R158" s="264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7"/>
      <c r="R159" s="264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7"/>
      <c r="R160" s="264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7"/>
      <c r="R161" s="264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7"/>
      <c r="R162" s="264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7"/>
      <c r="R163" s="264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7"/>
      <c r="R164" s="264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7"/>
      <c r="R165" s="264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88:E88"/>
    <mergeCell ref="C109:E10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205.94*11.44</f>
        <v>2355.9536</v>
      </c>
      <c r="F8" s="156"/>
      <c r="G8" s="156"/>
      <c r="H8" s="157">
        <v>11.44</v>
      </c>
      <c r="I8" s="158">
        <f t="shared" ref="I8:I24" si="1">+D8*E8</f>
        <v>189.6542648</v>
      </c>
      <c r="J8" s="159">
        <f t="shared" ref="J8:J24" si="2">E8-I8</f>
        <v>2166.299335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205.94*102</f>
        <v>21005.88</v>
      </c>
      <c r="F9" s="156"/>
      <c r="G9" s="156"/>
      <c r="H9" s="157">
        <v>102.0</v>
      </c>
      <c r="I9" s="158">
        <f t="shared" si="1"/>
        <v>1690.97334</v>
      </c>
      <c r="J9" s="159">
        <f t="shared" si="2"/>
        <v>19314.90666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68</v>
      </c>
      <c r="C10" s="154">
        <v>16.5</v>
      </c>
      <c r="D10" s="155">
        <v>0.1063</v>
      </c>
      <c r="E10" s="156">
        <f>186.601*13</f>
        <v>2425.813</v>
      </c>
      <c r="F10" s="156"/>
      <c r="G10" s="156"/>
      <c r="H10" s="157">
        <v>13.3</v>
      </c>
      <c r="I10" s="158">
        <f t="shared" si="1"/>
        <v>257.8639219</v>
      </c>
      <c r="J10" s="159">
        <f t="shared" si="2"/>
        <v>2167.949078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91</v>
      </c>
      <c r="C11" s="154">
        <v>22.5</v>
      </c>
      <c r="D11" s="161">
        <v>0.0737</v>
      </c>
      <c r="E11" s="162">
        <f>261.01*2.1</f>
        <v>548.121</v>
      </c>
      <c r="F11" s="162"/>
      <c r="G11" s="162"/>
      <c r="H11" s="157">
        <v>2.1</v>
      </c>
      <c r="I11" s="158">
        <f t="shared" si="1"/>
        <v>40.3965177</v>
      </c>
      <c r="J11" s="159">
        <f t="shared" si="2"/>
        <v>507.7244823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91</v>
      </c>
      <c r="C12" s="160">
        <v>22.5</v>
      </c>
      <c r="D12" s="161">
        <v>0.0737</v>
      </c>
      <c r="E12" s="162">
        <f>261.01*20</f>
        <v>5220.2</v>
      </c>
      <c r="F12" s="162"/>
      <c r="G12" s="162"/>
      <c r="H12" s="157">
        <v>20.0</v>
      </c>
      <c r="I12" s="158">
        <f t="shared" si="1"/>
        <v>384.72874</v>
      </c>
      <c r="J12" s="159">
        <f t="shared" si="2"/>
        <v>4835.47126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31555.9676</v>
      </c>
      <c r="F25" s="168"/>
      <c r="G25" s="168"/>
      <c r="H25" s="169"/>
      <c r="I25" s="170">
        <f t="shared" ref="I25:J25" si="3">SUM(I8:I24)</f>
        <v>2563.616784</v>
      </c>
      <c r="J25" s="171">
        <f t="shared" si="3"/>
        <v>28992.35082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55</v>
      </c>
      <c r="C32" s="183">
        <v>77.0</v>
      </c>
      <c r="D32" s="183">
        <v>190.0</v>
      </c>
      <c r="E32" s="183">
        <v>164.0</v>
      </c>
      <c r="F32" s="183">
        <f t="shared" ref="F32:F40" si="5">VALUE(IF(RIGHT(B32, 1)="%", RIGHT(B32, 3), 0))</f>
        <v>0</v>
      </c>
      <c r="G32" s="183">
        <f t="shared" ref="G32:G40" si="6">+R32*C32/100*D32/100*E32/100</f>
        <v>53.9847</v>
      </c>
      <c r="H32" s="184">
        <f t="shared" ref="H32:H241" si="7">IF(F32=0, G32, F32*G32)</f>
        <v>53.9847</v>
      </c>
      <c r="I32" s="183">
        <v>1.0</v>
      </c>
      <c r="J32" s="185">
        <f t="shared" ref="J32:J241" si="8">+I32*H32</f>
        <v>53.9847</v>
      </c>
      <c r="K32" s="186"/>
      <c r="L32" s="187">
        <f>D32*25.4/1000</f>
        <v>4.826</v>
      </c>
      <c r="M32" s="188">
        <f>+I32</f>
        <v>1</v>
      </c>
      <c r="N32" s="188">
        <f>M32*L32</f>
        <v>4.826</v>
      </c>
      <c r="O32" s="186"/>
      <c r="P32" s="186"/>
      <c r="Q32" s="187">
        <v>69.0</v>
      </c>
      <c r="R32" s="189">
        <v>22.5</v>
      </c>
      <c r="S32" s="177">
        <f t="shared" ref="S32:S41" si="9">E32/100</f>
        <v>1.64</v>
      </c>
      <c r="T32" s="160">
        <f t="shared" ref="T32:T41" si="10">I32</f>
        <v>1</v>
      </c>
      <c r="U32" s="160">
        <f t="shared" ref="U32:U41" si="11">T32*S32</f>
        <v>1.64</v>
      </c>
      <c r="V32" s="190">
        <f t="shared" ref="V32:V99" si="12">R32*C32/100*D32/100*E32/100</f>
        <v>53.9847</v>
      </c>
      <c r="W32" s="177">
        <f t="shared" ref="W32:X32" si="4">C32/100</f>
        <v>0.77</v>
      </c>
      <c r="X32" s="177">
        <f t="shared" si="4"/>
        <v>1.9</v>
      </c>
      <c r="Y32" s="177">
        <f t="shared" ref="Y32:Y242" si="14">U32</f>
        <v>1.64</v>
      </c>
      <c r="Z32" s="191">
        <f t="shared" ref="Z32:Z242" si="15">W32*X32*Y32</f>
        <v>2.39932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55</v>
      </c>
      <c r="C33" s="192">
        <v>99.0</v>
      </c>
      <c r="D33" s="192">
        <v>190.0</v>
      </c>
      <c r="E33" s="192">
        <v>191.0</v>
      </c>
      <c r="F33" s="192">
        <f t="shared" si="5"/>
        <v>0</v>
      </c>
      <c r="G33" s="192">
        <f t="shared" si="6"/>
        <v>80.835975</v>
      </c>
      <c r="H33" s="193">
        <f t="shared" si="7"/>
        <v>80.835975</v>
      </c>
      <c r="I33" s="192">
        <v>1.0</v>
      </c>
      <c r="J33" s="194">
        <f t="shared" si="8"/>
        <v>80.835975</v>
      </c>
      <c r="K33" s="139"/>
      <c r="L33" s="177"/>
      <c r="M33" s="160"/>
      <c r="N33" s="160"/>
      <c r="O33" s="139"/>
      <c r="P33" s="139"/>
      <c r="Q33" s="177">
        <v>86.0</v>
      </c>
      <c r="R33" s="189">
        <v>22.5</v>
      </c>
      <c r="S33" s="177">
        <f t="shared" si="9"/>
        <v>1.91</v>
      </c>
      <c r="T33" s="160">
        <f t="shared" si="10"/>
        <v>1</v>
      </c>
      <c r="U33" s="160">
        <f t="shared" si="11"/>
        <v>1.91</v>
      </c>
      <c r="V33" s="190">
        <f t="shared" si="12"/>
        <v>80.835975</v>
      </c>
      <c r="W33" s="177">
        <f t="shared" ref="W33:X33" si="13">C33/100</f>
        <v>0.99</v>
      </c>
      <c r="X33" s="177">
        <f t="shared" si="13"/>
        <v>1.9</v>
      </c>
      <c r="Y33" s="177">
        <f t="shared" si="14"/>
        <v>1.91</v>
      </c>
      <c r="Z33" s="191">
        <f t="shared" si="15"/>
        <v>3.59271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55</v>
      </c>
      <c r="C34" s="192">
        <v>100.0</v>
      </c>
      <c r="D34" s="192">
        <v>190.0</v>
      </c>
      <c r="E34" s="192">
        <v>211.0</v>
      </c>
      <c r="F34" s="192">
        <f t="shared" si="5"/>
        <v>0</v>
      </c>
      <c r="G34" s="192">
        <f t="shared" si="6"/>
        <v>90.2025</v>
      </c>
      <c r="H34" s="193">
        <f t="shared" si="7"/>
        <v>90.2025</v>
      </c>
      <c r="I34" s="192">
        <v>1.0</v>
      </c>
      <c r="J34" s="194">
        <f t="shared" si="8"/>
        <v>90.2025</v>
      </c>
      <c r="K34" s="139"/>
      <c r="L34" s="177">
        <f t="shared" ref="L34:L57" si="17">D34*25.4/1000</f>
        <v>4.826</v>
      </c>
      <c r="M34" s="160">
        <f t="shared" ref="M34:M69" si="18">+I34</f>
        <v>1</v>
      </c>
      <c r="N34" s="160">
        <f t="shared" ref="N34:N57" si="19">M34*L34</f>
        <v>4.826</v>
      </c>
      <c r="O34" s="139"/>
      <c r="P34" s="139"/>
      <c r="Q34" s="177">
        <v>96.0</v>
      </c>
      <c r="R34" s="189">
        <v>22.5</v>
      </c>
      <c r="S34" s="177">
        <f t="shared" si="9"/>
        <v>2.11</v>
      </c>
      <c r="T34" s="160">
        <f t="shared" si="10"/>
        <v>1</v>
      </c>
      <c r="U34" s="160">
        <f t="shared" si="11"/>
        <v>2.11</v>
      </c>
      <c r="V34" s="190">
        <f t="shared" si="12"/>
        <v>90.2025</v>
      </c>
      <c r="W34" s="177">
        <f t="shared" ref="W34:X34" si="16">C34/100</f>
        <v>1</v>
      </c>
      <c r="X34" s="177">
        <f t="shared" si="16"/>
        <v>1.9</v>
      </c>
      <c r="Y34" s="177">
        <f t="shared" si="14"/>
        <v>2.11</v>
      </c>
      <c r="Z34" s="191">
        <f t="shared" si="15"/>
        <v>4.009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55</v>
      </c>
      <c r="C35" s="192">
        <v>100.0</v>
      </c>
      <c r="D35" s="192">
        <v>190.0</v>
      </c>
      <c r="E35" s="192">
        <v>210.0</v>
      </c>
      <c r="F35" s="192">
        <f t="shared" si="5"/>
        <v>0</v>
      </c>
      <c r="G35" s="192">
        <f t="shared" si="6"/>
        <v>89.775</v>
      </c>
      <c r="H35" s="193">
        <f t="shared" si="7"/>
        <v>89.775</v>
      </c>
      <c r="I35" s="192">
        <v>1.0</v>
      </c>
      <c r="J35" s="194">
        <f t="shared" si="8"/>
        <v>89.775</v>
      </c>
      <c r="K35" s="139"/>
      <c r="L35" s="177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7">
        <v>97.0</v>
      </c>
      <c r="R35" s="189">
        <v>22.5</v>
      </c>
      <c r="S35" s="177">
        <f t="shared" si="9"/>
        <v>2.1</v>
      </c>
      <c r="T35" s="160">
        <f t="shared" si="10"/>
        <v>1</v>
      </c>
      <c r="U35" s="160">
        <f t="shared" si="11"/>
        <v>2.1</v>
      </c>
      <c r="V35" s="190">
        <f t="shared" si="12"/>
        <v>89.775</v>
      </c>
      <c r="W35" s="177">
        <f t="shared" ref="W35:X35" si="20">C35/100</f>
        <v>1</v>
      </c>
      <c r="X35" s="177">
        <f t="shared" si="20"/>
        <v>1.9</v>
      </c>
      <c r="Y35" s="177">
        <f t="shared" si="14"/>
        <v>2.1</v>
      </c>
      <c r="Z35" s="191">
        <f t="shared" si="15"/>
        <v>3.99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55</v>
      </c>
      <c r="C36" s="192">
        <v>94.0</v>
      </c>
      <c r="D36" s="192">
        <v>190.0</v>
      </c>
      <c r="E36" s="192">
        <v>118.0</v>
      </c>
      <c r="F36" s="192">
        <f t="shared" si="5"/>
        <v>0</v>
      </c>
      <c r="G36" s="192">
        <f t="shared" si="6"/>
        <v>47.4183</v>
      </c>
      <c r="H36" s="193">
        <f t="shared" si="7"/>
        <v>47.4183</v>
      </c>
      <c r="I36" s="192">
        <v>1.0</v>
      </c>
      <c r="J36" s="194">
        <f t="shared" si="8"/>
        <v>47.4183</v>
      </c>
      <c r="K36" s="139"/>
      <c r="L36" s="177">
        <f t="shared" si="17"/>
        <v>4.826</v>
      </c>
      <c r="M36" s="160">
        <f t="shared" si="18"/>
        <v>1</v>
      </c>
      <c r="N36" s="160">
        <f t="shared" si="19"/>
        <v>4.826</v>
      </c>
      <c r="O36" s="139"/>
      <c r="P36" s="139"/>
      <c r="Q36" s="177">
        <v>49.0</v>
      </c>
      <c r="R36" s="189">
        <v>22.5</v>
      </c>
      <c r="S36" s="177">
        <f t="shared" si="9"/>
        <v>1.18</v>
      </c>
      <c r="T36" s="160">
        <f t="shared" si="10"/>
        <v>1</v>
      </c>
      <c r="U36" s="160">
        <f t="shared" si="11"/>
        <v>1.18</v>
      </c>
      <c r="V36" s="190">
        <f t="shared" si="12"/>
        <v>47.4183</v>
      </c>
      <c r="W36" s="177">
        <f t="shared" ref="W36:X36" si="21">C36/100</f>
        <v>0.94</v>
      </c>
      <c r="X36" s="177">
        <f t="shared" si="21"/>
        <v>1.9</v>
      </c>
      <c r="Y36" s="177">
        <f t="shared" si="14"/>
        <v>1.18</v>
      </c>
      <c r="Z36" s="191">
        <f t="shared" si="15"/>
        <v>2.10748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55</v>
      </c>
      <c r="C37" s="192">
        <v>100.0</v>
      </c>
      <c r="D37" s="192">
        <v>190.0</v>
      </c>
      <c r="E37" s="192">
        <v>209.0</v>
      </c>
      <c r="F37" s="192">
        <f t="shared" si="5"/>
        <v>0</v>
      </c>
      <c r="G37" s="192">
        <f t="shared" si="6"/>
        <v>89.3475</v>
      </c>
      <c r="H37" s="193">
        <f t="shared" si="7"/>
        <v>89.3475</v>
      </c>
      <c r="I37" s="192">
        <v>1.0</v>
      </c>
      <c r="J37" s="194">
        <f t="shared" si="8"/>
        <v>89.3475</v>
      </c>
      <c r="K37" s="139"/>
      <c r="L37" s="177">
        <f t="shared" si="17"/>
        <v>4.826</v>
      </c>
      <c r="M37" s="160">
        <f t="shared" si="18"/>
        <v>1</v>
      </c>
      <c r="N37" s="160">
        <f t="shared" si="19"/>
        <v>4.826</v>
      </c>
      <c r="O37" s="139"/>
      <c r="P37" s="139"/>
      <c r="Q37" s="177">
        <v>93.0</v>
      </c>
      <c r="R37" s="189">
        <v>22.5</v>
      </c>
      <c r="S37" s="177">
        <f t="shared" si="9"/>
        <v>2.09</v>
      </c>
      <c r="T37" s="160">
        <f t="shared" si="10"/>
        <v>1</v>
      </c>
      <c r="U37" s="160">
        <f t="shared" si="11"/>
        <v>2.09</v>
      </c>
      <c r="V37" s="190">
        <f t="shared" si="12"/>
        <v>89.3475</v>
      </c>
      <c r="W37" s="177">
        <f t="shared" ref="W37:X37" si="22">C37/100</f>
        <v>1</v>
      </c>
      <c r="X37" s="177">
        <f t="shared" si="22"/>
        <v>1.9</v>
      </c>
      <c r="Y37" s="177">
        <f t="shared" si="14"/>
        <v>2.09</v>
      </c>
      <c r="Z37" s="191">
        <f t="shared" si="15"/>
        <v>3.971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55</v>
      </c>
      <c r="C38" s="192">
        <v>98.0</v>
      </c>
      <c r="D38" s="192">
        <v>190.0</v>
      </c>
      <c r="E38" s="192">
        <v>205.0</v>
      </c>
      <c r="F38" s="192">
        <f t="shared" si="5"/>
        <v>0</v>
      </c>
      <c r="G38" s="192">
        <f t="shared" si="6"/>
        <v>85.88475</v>
      </c>
      <c r="H38" s="193">
        <f t="shared" si="7"/>
        <v>85.88475</v>
      </c>
      <c r="I38" s="192">
        <v>1.0</v>
      </c>
      <c r="J38" s="194">
        <f t="shared" si="8"/>
        <v>85.88475</v>
      </c>
      <c r="K38" s="139"/>
      <c r="L38" s="177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7">
        <v>92.0</v>
      </c>
      <c r="R38" s="189">
        <v>22.5</v>
      </c>
      <c r="S38" s="177">
        <f t="shared" si="9"/>
        <v>2.05</v>
      </c>
      <c r="T38" s="160">
        <f t="shared" si="10"/>
        <v>1</v>
      </c>
      <c r="U38" s="160">
        <f t="shared" si="11"/>
        <v>2.05</v>
      </c>
      <c r="V38" s="190">
        <f t="shared" si="12"/>
        <v>85.88475</v>
      </c>
      <c r="W38" s="177">
        <f t="shared" ref="W38:X38" si="23">C38/100</f>
        <v>0.98</v>
      </c>
      <c r="X38" s="177">
        <f t="shared" si="23"/>
        <v>1.9</v>
      </c>
      <c r="Y38" s="177">
        <f t="shared" si="14"/>
        <v>2.05</v>
      </c>
      <c r="Z38" s="191">
        <f t="shared" si="15"/>
        <v>3.8171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55</v>
      </c>
      <c r="C39" s="192">
        <v>100.0</v>
      </c>
      <c r="D39" s="192">
        <v>190.0</v>
      </c>
      <c r="E39" s="192">
        <v>198.0</v>
      </c>
      <c r="F39" s="192">
        <f t="shared" si="5"/>
        <v>0</v>
      </c>
      <c r="G39" s="192">
        <f t="shared" si="6"/>
        <v>84.645</v>
      </c>
      <c r="H39" s="193">
        <f t="shared" si="7"/>
        <v>84.645</v>
      </c>
      <c r="I39" s="192">
        <v>1.0</v>
      </c>
      <c r="J39" s="194">
        <f t="shared" si="8"/>
        <v>84.645</v>
      </c>
      <c r="K39" s="139"/>
      <c r="L39" s="177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7">
        <v>89.0</v>
      </c>
      <c r="R39" s="189">
        <v>22.5</v>
      </c>
      <c r="S39" s="177">
        <f t="shared" si="9"/>
        <v>1.98</v>
      </c>
      <c r="T39" s="160">
        <f t="shared" si="10"/>
        <v>1</v>
      </c>
      <c r="U39" s="160">
        <f t="shared" si="11"/>
        <v>1.98</v>
      </c>
      <c r="V39" s="190">
        <f t="shared" si="12"/>
        <v>84.645</v>
      </c>
      <c r="W39" s="177">
        <f t="shared" ref="W39:X39" si="24">C39/100</f>
        <v>1</v>
      </c>
      <c r="X39" s="177">
        <f t="shared" si="24"/>
        <v>1.9</v>
      </c>
      <c r="Y39" s="177">
        <f t="shared" si="14"/>
        <v>1.98</v>
      </c>
      <c r="Z39" s="191">
        <f t="shared" si="15"/>
        <v>3.762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55</v>
      </c>
      <c r="C40" s="192">
        <v>90.0</v>
      </c>
      <c r="D40" s="192">
        <v>190.0</v>
      </c>
      <c r="E40" s="192">
        <v>197.0</v>
      </c>
      <c r="F40" s="192">
        <f t="shared" si="5"/>
        <v>0</v>
      </c>
      <c r="G40" s="192">
        <f t="shared" si="6"/>
        <v>75.79575</v>
      </c>
      <c r="H40" s="193">
        <f t="shared" si="7"/>
        <v>75.79575</v>
      </c>
      <c r="I40" s="192">
        <v>1.0</v>
      </c>
      <c r="J40" s="194">
        <f t="shared" si="8"/>
        <v>75.79575</v>
      </c>
      <c r="K40" s="139"/>
      <c r="L40" s="177">
        <f t="shared" si="17"/>
        <v>4.826</v>
      </c>
      <c r="M40" s="160">
        <f t="shared" si="18"/>
        <v>1</v>
      </c>
      <c r="N40" s="160">
        <f t="shared" si="19"/>
        <v>4.826</v>
      </c>
      <c r="O40" s="139"/>
      <c r="P40" s="139"/>
      <c r="Q40" s="177">
        <v>86.0</v>
      </c>
      <c r="R40" s="189">
        <v>22.5</v>
      </c>
      <c r="S40" s="177">
        <f t="shared" si="9"/>
        <v>1.97</v>
      </c>
      <c r="T40" s="160">
        <f t="shared" si="10"/>
        <v>1</v>
      </c>
      <c r="U40" s="160">
        <f t="shared" si="11"/>
        <v>1.97</v>
      </c>
      <c r="V40" s="190">
        <f t="shared" si="12"/>
        <v>75.79575</v>
      </c>
      <c r="W40" s="177">
        <f t="shared" ref="W40:X40" si="25">C40/100</f>
        <v>0.9</v>
      </c>
      <c r="X40" s="177">
        <f t="shared" si="25"/>
        <v>1.9</v>
      </c>
      <c r="Y40" s="177">
        <f t="shared" si="14"/>
        <v>1.97</v>
      </c>
      <c r="Z40" s="191">
        <f t="shared" si="15"/>
        <v>3.3687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/>
      <c r="B41" s="192" t="s">
        <v>55</v>
      </c>
      <c r="C41" s="192">
        <v>100.0</v>
      </c>
      <c r="D41" s="192">
        <v>191.0</v>
      </c>
      <c r="E41" s="192">
        <v>2480.0</v>
      </c>
      <c r="F41" s="192"/>
      <c r="G41" s="192"/>
      <c r="H41" s="193" t="str">
        <f t="shared" si="7"/>
        <v/>
      </c>
      <c r="I41" s="192">
        <v>1.0</v>
      </c>
      <c r="J41" s="194">
        <f t="shared" si="8"/>
        <v>0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86.0</v>
      </c>
      <c r="R41" s="189">
        <v>22.5</v>
      </c>
      <c r="S41" s="177">
        <f t="shared" si="9"/>
        <v>24.8</v>
      </c>
      <c r="T41" s="160">
        <f t="shared" si="10"/>
        <v>1</v>
      </c>
      <c r="U41" s="160">
        <f t="shared" si="11"/>
        <v>24.8</v>
      </c>
      <c r="V41" s="190">
        <f t="shared" si="12"/>
        <v>1065.78</v>
      </c>
      <c r="W41" s="177">
        <f t="shared" ref="W41:X41" si="26">C41/100</f>
        <v>1</v>
      </c>
      <c r="X41" s="177">
        <f t="shared" si="26"/>
        <v>1.91</v>
      </c>
      <c r="Y41" s="177">
        <f t="shared" si="14"/>
        <v>24.8</v>
      </c>
      <c r="Z41" s="191">
        <f t="shared" si="15"/>
        <v>47.368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10.0</v>
      </c>
      <c r="B42" s="182" t="s">
        <v>55</v>
      </c>
      <c r="C42" s="183">
        <v>70.0</v>
      </c>
      <c r="D42" s="183">
        <v>160.0</v>
      </c>
      <c r="E42" s="183">
        <v>197.0</v>
      </c>
      <c r="F42" s="183"/>
      <c r="G42" s="183"/>
      <c r="H42" s="184" t="str">
        <f t="shared" si="7"/>
        <v/>
      </c>
      <c r="I42" s="183">
        <v>1.0</v>
      </c>
      <c r="J42" s="185">
        <f t="shared" si="8"/>
        <v>0</v>
      </c>
      <c r="K42" s="186"/>
      <c r="L42" s="187">
        <f t="shared" si="17"/>
        <v>4.064</v>
      </c>
      <c r="M42" s="188">
        <f t="shared" si="18"/>
        <v>1</v>
      </c>
      <c r="N42" s="188">
        <f t="shared" si="19"/>
        <v>4.064</v>
      </c>
      <c r="O42" s="186"/>
      <c r="P42" s="186"/>
      <c r="Q42" s="187">
        <v>68.0</v>
      </c>
      <c r="R42" s="189">
        <v>22.5</v>
      </c>
      <c r="S42" s="177">
        <f>SUMIFS($T$32:$T$40,$S$32:$S$40,"&gt;=3")</f>
        <v>0</v>
      </c>
      <c r="T42" s="160">
        <f t="shared" ref="T42:U42" si="27">SUM(T32:T40)</f>
        <v>9</v>
      </c>
      <c r="U42" s="160">
        <f t="shared" si="27"/>
        <v>17.03</v>
      </c>
      <c r="V42" s="190">
        <f t="shared" si="12"/>
        <v>49.644</v>
      </c>
      <c r="W42" s="177">
        <f t="shared" ref="W42:X42" si="28">C42/100</f>
        <v>0.7</v>
      </c>
      <c r="X42" s="177">
        <f t="shared" si="28"/>
        <v>1.6</v>
      </c>
      <c r="Y42" s="177">
        <f t="shared" si="14"/>
        <v>17.03</v>
      </c>
      <c r="Z42" s="191">
        <f t="shared" si="15"/>
        <v>19.0736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11.0</v>
      </c>
      <c r="B43" s="192" t="s">
        <v>55</v>
      </c>
      <c r="C43" s="192">
        <v>37.0</v>
      </c>
      <c r="D43" s="192">
        <v>160.0</v>
      </c>
      <c r="E43" s="192">
        <v>194.0</v>
      </c>
      <c r="F43" s="192"/>
      <c r="G43" s="192"/>
      <c r="H43" s="193" t="str">
        <f t="shared" si="7"/>
        <v/>
      </c>
      <c r="I43" s="192">
        <v>1.0</v>
      </c>
      <c r="J43" s="194">
        <f t="shared" si="8"/>
        <v>0</v>
      </c>
      <c r="K43" s="139"/>
      <c r="L43" s="177">
        <f t="shared" si="17"/>
        <v>4.064</v>
      </c>
      <c r="M43" s="160">
        <f t="shared" si="18"/>
        <v>1</v>
      </c>
      <c r="N43" s="160">
        <f t="shared" si="19"/>
        <v>4.064</v>
      </c>
      <c r="O43" s="139"/>
      <c r="P43" s="139"/>
      <c r="Q43" s="177">
        <v>63.0</v>
      </c>
      <c r="R43" s="189">
        <v>22.5</v>
      </c>
      <c r="S43" s="177">
        <f t="shared" ref="S43:S44" si="30">E43/100</f>
        <v>1.94</v>
      </c>
      <c r="T43" s="160">
        <f>I43</f>
        <v>1</v>
      </c>
      <c r="U43" s="160">
        <f>T43*S43</f>
        <v>1.94</v>
      </c>
      <c r="V43" s="190">
        <f t="shared" si="12"/>
        <v>25.8408</v>
      </c>
      <c r="W43" s="177">
        <f t="shared" ref="W43:X43" si="29">C43/100</f>
        <v>0.37</v>
      </c>
      <c r="X43" s="177">
        <f t="shared" si="29"/>
        <v>1.6</v>
      </c>
      <c r="Y43" s="177">
        <f t="shared" si="14"/>
        <v>1.94</v>
      </c>
      <c r="Z43" s="191">
        <f t="shared" si="15"/>
        <v>1.14848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12.0</v>
      </c>
      <c r="B44" s="192" t="s">
        <v>55</v>
      </c>
      <c r="C44" s="192">
        <v>99.0</v>
      </c>
      <c r="D44" s="192">
        <v>191.0</v>
      </c>
      <c r="E44" s="192">
        <v>70.0</v>
      </c>
      <c r="F44" s="192"/>
      <c r="G44" s="192"/>
      <c r="H44" s="193" t="str">
        <f t="shared" si="7"/>
        <v/>
      </c>
      <c r="I44" s="192">
        <v>1.0</v>
      </c>
      <c r="J44" s="194">
        <f t="shared" si="8"/>
        <v>0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45.0</v>
      </c>
      <c r="R44" s="189">
        <v>22.5</v>
      </c>
      <c r="S44" s="177">
        <f t="shared" si="30"/>
        <v>0.7</v>
      </c>
      <c r="T44" s="160" t="s">
        <v>48</v>
      </c>
      <c r="U44" s="160" t="s">
        <v>59</v>
      </c>
      <c r="V44" s="190">
        <f t="shared" si="12"/>
        <v>29.781675</v>
      </c>
      <c r="W44" s="177">
        <f t="shared" ref="W44:X44" si="31">C44/100</f>
        <v>0.99</v>
      </c>
      <c r="X44" s="177">
        <f t="shared" si="31"/>
        <v>1.91</v>
      </c>
      <c r="Y44" s="177" t="str">
        <f t="shared" si="14"/>
        <v>MRT</v>
      </c>
      <c r="Z44" s="191" t="str">
        <f t="shared" si="15"/>
        <v>#VALUE!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13.0</v>
      </c>
      <c r="B45" s="192" t="s">
        <v>55</v>
      </c>
      <c r="C45" s="192">
        <v>100.0</v>
      </c>
      <c r="D45" s="192">
        <v>191.0</v>
      </c>
      <c r="E45" s="192">
        <v>72.0</v>
      </c>
      <c r="F45" s="192"/>
      <c r="G45" s="192"/>
      <c r="H45" s="193" t="str">
        <f t="shared" si="7"/>
        <v/>
      </c>
      <c r="I45" s="192">
        <v>1.0</v>
      </c>
      <c r="J45" s="194">
        <f t="shared" si="8"/>
        <v>0</v>
      </c>
      <c r="K45" s="139"/>
      <c r="L45" s="177">
        <f t="shared" si="17"/>
        <v>4.8514</v>
      </c>
      <c r="M45" s="160">
        <f t="shared" si="18"/>
        <v>1</v>
      </c>
      <c r="N45" s="160">
        <f t="shared" si="19"/>
        <v>4.8514</v>
      </c>
      <c r="O45" s="139"/>
      <c r="P45" s="139"/>
      <c r="Q45" s="177">
        <v>46.0</v>
      </c>
      <c r="R45" s="189">
        <v>22.5</v>
      </c>
      <c r="S45" s="177" t="s">
        <v>31</v>
      </c>
      <c r="T45" s="160">
        <f>SUMIFS($J$32:$J$40,$S$32:$S$40,"&gt;=3")</f>
        <v>0</v>
      </c>
      <c r="U45" s="160" t="str">
        <f>T45*S45</f>
        <v>#VALUE!</v>
      </c>
      <c r="V45" s="190">
        <f t="shared" si="12"/>
        <v>30.942</v>
      </c>
      <c r="W45" s="177">
        <f t="shared" ref="W45:X45" si="32">C45/100</f>
        <v>1</v>
      </c>
      <c r="X45" s="177">
        <f t="shared" si="32"/>
        <v>1.91</v>
      </c>
      <c r="Y45" s="177" t="str">
        <f t="shared" si="14"/>
        <v>#VALUE!</v>
      </c>
      <c r="Z45" s="191" t="str">
        <f t="shared" si="15"/>
        <v>#VALUE!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14.0</v>
      </c>
      <c r="B46" s="192" t="s">
        <v>55</v>
      </c>
      <c r="C46" s="192">
        <v>100.0</v>
      </c>
      <c r="D46" s="192">
        <v>191.0</v>
      </c>
      <c r="E46" s="192">
        <v>2875.0</v>
      </c>
      <c r="F46" s="192"/>
      <c r="G46" s="192"/>
      <c r="H46" s="193" t="str">
        <f t="shared" si="7"/>
        <v/>
      </c>
      <c r="I46" s="192">
        <v>1.0</v>
      </c>
      <c r="J46" s="194">
        <f t="shared" si="8"/>
        <v>0</v>
      </c>
      <c r="K46" s="139"/>
      <c r="L46" s="177">
        <f t="shared" si="17"/>
        <v>4.8514</v>
      </c>
      <c r="M46" s="160">
        <f t="shared" si="18"/>
        <v>1</v>
      </c>
      <c r="N46" s="160">
        <f t="shared" si="19"/>
        <v>4.8514</v>
      </c>
      <c r="O46" s="139"/>
      <c r="P46" s="139"/>
      <c r="Q46" s="177">
        <v>1270.0</v>
      </c>
      <c r="R46" s="189">
        <v>22.5</v>
      </c>
      <c r="S46" s="177" t="s">
        <v>34</v>
      </c>
      <c r="T46" s="194">
        <f>J42-T45</f>
        <v>0</v>
      </c>
      <c r="U46" s="160">
        <f>+SUMIFS($U$32:$U$40,$S$32:$S$40,"&gt;=3")</f>
        <v>0</v>
      </c>
      <c r="V46" s="190">
        <f t="shared" si="12"/>
        <v>1235.53125</v>
      </c>
      <c r="W46" s="177">
        <f t="shared" ref="W46:X46" si="33">C46/100</f>
        <v>1</v>
      </c>
      <c r="X46" s="177">
        <f t="shared" si="33"/>
        <v>1.91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15.0</v>
      </c>
      <c r="B47" s="192" t="s">
        <v>55</v>
      </c>
      <c r="C47" s="192">
        <v>101.0</v>
      </c>
      <c r="D47" s="192">
        <v>191.0</v>
      </c>
      <c r="E47" s="192">
        <v>2875.0</v>
      </c>
      <c r="F47" s="192"/>
      <c r="G47" s="192"/>
      <c r="H47" s="193" t="str">
        <f t="shared" si="7"/>
        <v/>
      </c>
      <c r="I47" s="192">
        <v>1.0</v>
      </c>
      <c r="J47" s="194">
        <f t="shared" si="8"/>
        <v>0</v>
      </c>
      <c r="K47" s="139"/>
      <c r="L47" s="177">
        <f t="shared" si="17"/>
        <v>4.8514</v>
      </c>
      <c r="M47" s="160">
        <f t="shared" si="18"/>
        <v>1</v>
      </c>
      <c r="N47" s="160">
        <f t="shared" si="19"/>
        <v>4.8514</v>
      </c>
      <c r="O47" s="139"/>
      <c r="P47" s="139"/>
      <c r="Q47" s="177">
        <v>1275.0</v>
      </c>
      <c r="R47" s="189">
        <v>22.5</v>
      </c>
      <c r="S47" s="177">
        <f t="shared" ref="S47:S242" si="35">E47/100</f>
        <v>28.75</v>
      </c>
      <c r="T47" s="160">
        <f>+I42</f>
        <v>1</v>
      </c>
      <c r="U47" s="160">
        <f t="shared" ref="U47:U242" si="36">T47*S47</f>
        <v>28.75</v>
      </c>
      <c r="V47" s="190">
        <f t="shared" si="12"/>
        <v>1247.886563</v>
      </c>
      <c r="W47" s="177">
        <f t="shared" ref="W47:X47" si="34">C47/100</f>
        <v>1.01</v>
      </c>
      <c r="X47" s="177">
        <f t="shared" si="34"/>
        <v>1.91</v>
      </c>
      <c r="Y47" s="177">
        <f t="shared" si="14"/>
        <v>28.75</v>
      </c>
      <c r="Z47" s="191">
        <f t="shared" si="15"/>
        <v>55.461625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16.0</v>
      </c>
      <c r="B48" s="192" t="s">
        <v>55</v>
      </c>
      <c r="C48" s="192">
        <v>101.0</v>
      </c>
      <c r="D48" s="192">
        <v>191.0</v>
      </c>
      <c r="E48" s="192">
        <v>2875.0</v>
      </c>
      <c r="F48" s="192"/>
      <c r="G48" s="192"/>
      <c r="H48" s="193" t="str">
        <f t="shared" si="7"/>
        <v/>
      </c>
      <c r="I48" s="192">
        <v>1.0</v>
      </c>
      <c r="J48" s="194">
        <f t="shared" si="8"/>
        <v>0</v>
      </c>
      <c r="K48" s="139"/>
      <c r="L48" s="177">
        <f t="shared" si="17"/>
        <v>4.8514</v>
      </c>
      <c r="M48" s="160">
        <f t="shared" si="18"/>
        <v>1</v>
      </c>
      <c r="N48" s="160">
        <f t="shared" si="19"/>
        <v>4.8514</v>
      </c>
      <c r="O48" s="139"/>
      <c r="P48" s="139"/>
      <c r="Q48" s="177">
        <v>1270.0</v>
      </c>
      <c r="R48" s="189">
        <v>22.5</v>
      </c>
      <c r="S48" s="177">
        <f t="shared" si="35"/>
        <v>28.75</v>
      </c>
      <c r="T48" s="160">
        <f t="shared" ref="T48:T242" si="38">I48</f>
        <v>1</v>
      </c>
      <c r="U48" s="160">
        <f t="shared" si="36"/>
        <v>28.75</v>
      </c>
      <c r="V48" s="190">
        <f t="shared" si="12"/>
        <v>1247.886563</v>
      </c>
      <c r="W48" s="177">
        <f t="shared" ref="W48:X48" si="37">C48/100</f>
        <v>1.01</v>
      </c>
      <c r="X48" s="177">
        <f t="shared" si="37"/>
        <v>1.91</v>
      </c>
      <c r="Y48" s="177">
        <f t="shared" si="14"/>
        <v>28.75</v>
      </c>
      <c r="Z48" s="191">
        <f t="shared" si="15"/>
        <v>55.461625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17.0</v>
      </c>
      <c r="B49" s="192" t="s">
        <v>55</v>
      </c>
      <c r="C49" s="192">
        <v>102.0</v>
      </c>
      <c r="D49" s="192">
        <v>191.0</v>
      </c>
      <c r="E49" s="192">
        <v>2875.0</v>
      </c>
      <c r="F49" s="192"/>
      <c r="G49" s="192"/>
      <c r="H49" s="193" t="str">
        <f t="shared" si="7"/>
        <v/>
      </c>
      <c r="I49" s="192">
        <v>1.0</v>
      </c>
      <c r="J49" s="194">
        <f t="shared" si="8"/>
        <v>0</v>
      </c>
      <c r="K49" s="139"/>
      <c r="L49" s="177">
        <f t="shared" si="17"/>
        <v>4.8514</v>
      </c>
      <c r="M49" s="160">
        <f t="shared" si="18"/>
        <v>1</v>
      </c>
      <c r="N49" s="160">
        <f t="shared" si="19"/>
        <v>4.8514</v>
      </c>
      <c r="O49" s="139"/>
      <c r="P49" s="139"/>
      <c r="Q49" s="177">
        <v>1280.0</v>
      </c>
      <c r="R49" s="189">
        <v>22.5</v>
      </c>
      <c r="S49" s="177">
        <f t="shared" si="35"/>
        <v>28.75</v>
      </c>
      <c r="T49" s="160">
        <f t="shared" si="38"/>
        <v>1</v>
      </c>
      <c r="U49" s="160">
        <f t="shared" si="36"/>
        <v>28.75</v>
      </c>
      <c r="V49" s="190">
        <f t="shared" si="12"/>
        <v>1260.241875</v>
      </c>
      <c r="W49" s="177">
        <f t="shared" ref="W49:X49" si="39">C49/100</f>
        <v>1.02</v>
      </c>
      <c r="X49" s="177">
        <f t="shared" si="39"/>
        <v>1.91</v>
      </c>
      <c r="Y49" s="177">
        <f t="shared" si="14"/>
        <v>28.75</v>
      </c>
      <c r="Z49" s="191">
        <f t="shared" si="15"/>
        <v>56.01075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18.0</v>
      </c>
      <c r="B50" s="192" t="s">
        <v>55</v>
      </c>
      <c r="C50" s="192">
        <v>100.0</v>
      </c>
      <c r="D50" s="192">
        <v>191.0</v>
      </c>
      <c r="E50" s="192">
        <v>2878.0</v>
      </c>
      <c r="F50" s="192"/>
      <c r="G50" s="192"/>
      <c r="H50" s="193" t="str">
        <f t="shared" si="7"/>
        <v/>
      </c>
      <c r="I50" s="192">
        <v>1.0</v>
      </c>
      <c r="J50" s="194">
        <f t="shared" si="8"/>
        <v>0</v>
      </c>
      <c r="K50" s="139"/>
      <c r="L50" s="177">
        <f t="shared" si="17"/>
        <v>4.8514</v>
      </c>
      <c r="M50" s="160">
        <f t="shared" si="18"/>
        <v>1</v>
      </c>
      <c r="N50" s="160">
        <f t="shared" si="19"/>
        <v>4.8514</v>
      </c>
      <c r="O50" s="139"/>
      <c r="P50" s="139"/>
      <c r="Q50" s="177">
        <v>1265.0</v>
      </c>
      <c r="R50" s="189">
        <v>22.5</v>
      </c>
      <c r="S50" s="177">
        <f t="shared" si="35"/>
        <v>28.78</v>
      </c>
      <c r="T50" s="160">
        <f t="shared" si="38"/>
        <v>1</v>
      </c>
      <c r="U50" s="160">
        <f t="shared" si="36"/>
        <v>28.78</v>
      </c>
      <c r="V50" s="190">
        <f t="shared" si="12"/>
        <v>1236.8205</v>
      </c>
      <c r="W50" s="177">
        <f t="shared" ref="W50:X50" si="40">C50/100</f>
        <v>1</v>
      </c>
      <c r="X50" s="177">
        <f t="shared" si="40"/>
        <v>1.91</v>
      </c>
      <c r="Y50" s="177">
        <f t="shared" si="14"/>
        <v>28.78</v>
      </c>
      <c r="Z50" s="191">
        <f t="shared" si="15"/>
        <v>54.9698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19.0</v>
      </c>
      <c r="B51" s="192" t="s">
        <v>55</v>
      </c>
      <c r="C51" s="192">
        <v>101.0</v>
      </c>
      <c r="D51" s="192">
        <v>191.0</v>
      </c>
      <c r="E51" s="192">
        <v>2877.0</v>
      </c>
      <c r="F51" s="192"/>
      <c r="G51" s="192"/>
      <c r="H51" s="193" t="str">
        <f t="shared" si="7"/>
        <v/>
      </c>
      <c r="I51" s="192">
        <v>1.0</v>
      </c>
      <c r="J51" s="194">
        <f t="shared" si="8"/>
        <v>0</v>
      </c>
      <c r="K51" s="139"/>
      <c r="L51" s="177">
        <f t="shared" si="17"/>
        <v>4.8514</v>
      </c>
      <c r="M51" s="160">
        <f t="shared" si="18"/>
        <v>1</v>
      </c>
      <c r="N51" s="160">
        <f t="shared" si="19"/>
        <v>4.8514</v>
      </c>
      <c r="O51" s="139"/>
      <c r="P51" s="139"/>
      <c r="Q51" s="177">
        <v>1260.0</v>
      </c>
      <c r="R51" s="189">
        <v>22.5</v>
      </c>
      <c r="S51" s="177">
        <f t="shared" si="35"/>
        <v>28.77</v>
      </c>
      <c r="T51" s="160">
        <f t="shared" si="38"/>
        <v>1</v>
      </c>
      <c r="U51" s="160">
        <f t="shared" si="36"/>
        <v>28.77</v>
      </c>
      <c r="V51" s="190">
        <f t="shared" si="12"/>
        <v>1248.754658</v>
      </c>
      <c r="W51" s="177">
        <f t="shared" ref="W51:X51" si="41">C51/100</f>
        <v>1.01</v>
      </c>
      <c r="X51" s="177">
        <f t="shared" si="41"/>
        <v>1.91</v>
      </c>
      <c r="Y51" s="177">
        <f t="shared" si="14"/>
        <v>28.77</v>
      </c>
      <c r="Z51" s="191">
        <f t="shared" si="15"/>
        <v>55.500207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20.0</v>
      </c>
      <c r="B52" s="192" t="s">
        <v>55</v>
      </c>
      <c r="C52" s="192">
        <v>101.0</v>
      </c>
      <c r="D52" s="192">
        <v>191.0</v>
      </c>
      <c r="E52" s="192">
        <v>2874.0</v>
      </c>
      <c r="F52" s="192"/>
      <c r="G52" s="192"/>
      <c r="H52" s="193" t="str">
        <f t="shared" si="7"/>
        <v/>
      </c>
      <c r="I52" s="192">
        <v>1.0</v>
      </c>
      <c r="J52" s="194">
        <f t="shared" si="8"/>
        <v>0</v>
      </c>
      <c r="K52" s="139"/>
      <c r="L52" s="177">
        <f t="shared" si="17"/>
        <v>4.8514</v>
      </c>
      <c r="M52" s="160">
        <f t="shared" si="18"/>
        <v>1</v>
      </c>
      <c r="N52" s="160">
        <f t="shared" si="19"/>
        <v>4.8514</v>
      </c>
      <c r="O52" s="139"/>
      <c r="P52" s="139"/>
      <c r="Q52" s="177">
        <v>1260.0</v>
      </c>
      <c r="R52" s="189">
        <v>22.5</v>
      </c>
      <c r="S52" s="177">
        <f t="shared" si="35"/>
        <v>28.74</v>
      </c>
      <c r="T52" s="160">
        <f t="shared" si="38"/>
        <v>1</v>
      </c>
      <c r="U52" s="160">
        <f t="shared" si="36"/>
        <v>28.74</v>
      </c>
      <c r="V52" s="190">
        <f t="shared" si="12"/>
        <v>1247.452515</v>
      </c>
      <c r="W52" s="177">
        <f t="shared" ref="W52:X52" si="42">C52/100</f>
        <v>1.01</v>
      </c>
      <c r="X52" s="177">
        <f t="shared" si="42"/>
        <v>1.91</v>
      </c>
      <c r="Y52" s="177">
        <f t="shared" si="14"/>
        <v>28.74</v>
      </c>
      <c r="Z52" s="191">
        <f t="shared" si="15"/>
        <v>55.442334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21.0</v>
      </c>
      <c r="B53" s="192" t="s">
        <v>55</v>
      </c>
      <c r="C53" s="192">
        <v>100.0</v>
      </c>
      <c r="D53" s="192">
        <v>191.0</v>
      </c>
      <c r="E53" s="192">
        <v>2875.0</v>
      </c>
      <c r="F53" s="192"/>
      <c r="G53" s="192"/>
      <c r="H53" s="193" t="str">
        <f t="shared" si="7"/>
        <v/>
      </c>
      <c r="I53" s="192">
        <v>1.0</v>
      </c>
      <c r="J53" s="194">
        <f t="shared" si="8"/>
        <v>0</v>
      </c>
      <c r="K53" s="139"/>
      <c r="L53" s="177">
        <f t="shared" si="17"/>
        <v>4.8514</v>
      </c>
      <c r="M53" s="160">
        <f t="shared" si="18"/>
        <v>1</v>
      </c>
      <c r="N53" s="160">
        <f t="shared" si="19"/>
        <v>4.8514</v>
      </c>
      <c r="O53" s="139"/>
      <c r="P53" s="139"/>
      <c r="Q53" s="177">
        <v>1255.0</v>
      </c>
      <c r="R53" s="189">
        <v>22.5</v>
      </c>
      <c r="S53" s="177">
        <f t="shared" si="35"/>
        <v>28.75</v>
      </c>
      <c r="T53" s="160">
        <f t="shared" si="38"/>
        <v>1</v>
      </c>
      <c r="U53" s="160">
        <f t="shared" si="36"/>
        <v>28.75</v>
      </c>
      <c r="V53" s="190">
        <f t="shared" si="12"/>
        <v>1235.53125</v>
      </c>
      <c r="W53" s="177">
        <f t="shared" ref="W53:X53" si="43">C53/100</f>
        <v>1</v>
      </c>
      <c r="X53" s="177">
        <f t="shared" si="43"/>
        <v>1.91</v>
      </c>
      <c r="Y53" s="177">
        <f t="shared" si="14"/>
        <v>28.75</v>
      </c>
      <c r="Z53" s="191">
        <f t="shared" si="15"/>
        <v>54.9125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22.0</v>
      </c>
      <c r="B54" s="192" t="s">
        <v>55</v>
      </c>
      <c r="C54" s="192">
        <v>101.0</v>
      </c>
      <c r="D54" s="192">
        <v>191.0</v>
      </c>
      <c r="E54" s="192">
        <v>2871.0</v>
      </c>
      <c r="F54" s="192"/>
      <c r="G54" s="192"/>
      <c r="H54" s="193" t="str">
        <f t="shared" si="7"/>
        <v/>
      </c>
      <c r="I54" s="192">
        <v>1.0</v>
      </c>
      <c r="J54" s="194">
        <f t="shared" si="8"/>
        <v>0</v>
      </c>
      <c r="K54" s="139"/>
      <c r="L54" s="177">
        <f t="shared" si="17"/>
        <v>4.8514</v>
      </c>
      <c r="M54" s="160">
        <f t="shared" si="18"/>
        <v>1</v>
      </c>
      <c r="N54" s="160">
        <f t="shared" si="19"/>
        <v>4.8514</v>
      </c>
      <c r="O54" s="139"/>
      <c r="P54" s="139"/>
      <c r="Q54" s="177">
        <v>1260.0</v>
      </c>
      <c r="R54" s="189">
        <v>22.5</v>
      </c>
      <c r="S54" s="177">
        <f t="shared" si="35"/>
        <v>28.71</v>
      </c>
      <c r="T54" s="160">
        <f t="shared" si="38"/>
        <v>1</v>
      </c>
      <c r="U54" s="160">
        <f t="shared" si="36"/>
        <v>28.71</v>
      </c>
      <c r="V54" s="190">
        <f t="shared" si="12"/>
        <v>1246.150373</v>
      </c>
      <c r="W54" s="177">
        <f t="shared" ref="W54:X54" si="44">C54/100</f>
        <v>1.01</v>
      </c>
      <c r="X54" s="177">
        <f t="shared" si="44"/>
        <v>1.91</v>
      </c>
      <c r="Y54" s="177">
        <f t="shared" si="14"/>
        <v>28.71</v>
      </c>
      <c r="Z54" s="191">
        <f t="shared" si="15"/>
        <v>55.384461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23.0</v>
      </c>
      <c r="B55" s="192" t="s">
        <v>55</v>
      </c>
      <c r="C55" s="192">
        <v>101.0</v>
      </c>
      <c r="D55" s="192">
        <v>191.0</v>
      </c>
      <c r="E55" s="192">
        <v>2875.0</v>
      </c>
      <c r="F55" s="192"/>
      <c r="G55" s="192"/>
      <c r="H55" s="193" t="str">
        <f t="shared" si="7"/>
        <v/>
      </c>
      <c r="I55" s="192">
        <v>1.0</v>
      </c>
      <c r="J55" s="194">
        <f t="shared" si="8"/>
        <v>0</v>
      </c>
      <c r="K55" s="139"/>
      <c r="L55" s="177">
        <f t="shared" si="17"/>
        <v>4.8514</v>
      </c>
      <c r="M55" s="160">
        <f t="shared" si="18"/>
        <v>1</v>
      </c>
      <c r="N55" s="160">
        <f t="shared" si="19"/>
        <v>4.8514</v>
      </c>
      <c r="O55" s="139"/>
      <c r="P55" s="139"/>
      <c r="Q55" s="177">
        <v>1245.0</v>
      </c>
      <c r="R55" s="189">
        <v>22.5</v>
      </c>
      <c r="S55" s="177">
        <f t="shared" si="35"/>
        <v>28.75</v>
      </c>
      <c r="T55" s="160">
        <f t="shared" si="38"/>
        <v>1</v>
      </c>
      <c r="U55" s="160">
        <f t="shared" si="36"/>
        <v>28.75</v>
      </c>
      <c r="V55" s="190">
        <f t="shared" si="12"/>
        <v>1247.886563</v>
      </c>
      <c r="W55" s="177">
        <f t="shared" ref="W55:X55" si="45">C55/100</f>
        <v>1.01</v>
      </c>
      <c r="X55" s="177">
        <f t="shared" si="45"/>
        <v>1.91</v>
      </c>
      <c r="Y55" s="177">
        <f t="shared" si="14"/>
        <v>28.75</v>
      </c>
      <c r="Z55" s="191">
        <f t="shared" si="15"/>
        <v>55.461625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24.0</v>
      </c>
      <c r="B56" s="192" t="s">
        <v>55</v>
      </c>
      <c r="C56" s="192">
        <v>100.0</v>
      </c>
      <c r="D56" s="192">
        <v>191.0</v>
      </c>
      <c r="E56" s="192">
        <v>2868.0</v>
      </c>
      <c r="F56" s="192"/>
      <c r="G56" s="192"/>
      <c r="H56" s="193" t="str">
        <f t="shared" si="7"/>
        <v/>
      </c>
      <c r="I56" s="192">
        <v>1.0</v>
      </c>
      <c r="J56" s="194">
        <f t="shared" si="8"/>
        <v>0</v>
      </c>
      <c r="K56" s="139"/>
      <c r="L56" s="177">
        <f t="shared" si="17"/>
        <v>4.8514</v>
      </c>
      <c r="M56" s="160">
        <f t="shared" si="18"/>
        <v>1</v>
      </c>
      <c r="N56" s="160">
        <f t="shared" si="19"/>
        <v>4.8514</v>
      </c>
      <c r="O56" s="139"/>
      <c r="P56" s="139"/>
      <c r="Q56" s="177">
        <v>1245.0</v>
      </c>
      <c r="R56" s="189">
        <v>22.5</v>
      </c>
      <c r="S56" s="177">
        <f t="shared" si="35"/>
        <v>28.68</v>
      </c>
      <c r="T56" s="160">
        <f t="shared" si="38"/>
        <v>1</v>
      </c>
      <c r="U56" s="160">
        <f t="shared" si="36"/>
        <v>28.68</v>
      </c>
      <c r="V56" s="190">
        <f t="shared" si="12"/>
        <v>1232.523</v>
      </c>
      <c r="W56" s="177">
        <f t="shared" ref="W56:X56" si="46">C56/100</f>
        <v>1</v>
      </c>
      <c r="X56" s="177">
        <f t="shared" si="46"/>
        <v>1.91</v>
      </c>
      <c r="Y56" s="177">
        <f t="shared" si="14"/>
        <v>28.68</v>
      </c>
      <c r="Z56" s="191">
        <f t="shared" si="15"/>
        <v>54.7788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25.0</v>
      </c>
      <c r="B57" s="192" t="s">
        <v>55</v>
      </c>
      <c r="C57" s="192">
        <v>100.0</v>
      </c>
      <c r="D57" s="192">
        <v>191.0</v>
      </c>
      <c r="E57" s="192">
        <v>2881.0</v>
      </c>
      <c r="F57" s="192"/>
      <c r="G57" s="192"/>
      <c r="H57" s="193" t="str">
        <f t="shared" si="7"/>
        <v/>
      </c>
      <c r="I57" s="192">
        <v>1.0</v>
      </c>
      <c r="J57" s="194">
        <f t="shared" si="8"/>
        <v>0</v>
      </c>
      <c r="K57" s="139"/>
      <c r="L57" s="177">
        <f t="shared" si="17"/>
        <v>4.8514</v>
      </c>
      <c r="M57" s="160">
        <f t="shared" si="18"/>
        <v>1</v>
      </c>
      <c r="N57" s="160">
        <f t="shared" si="19"/>
        <v>4.8514</v>
      </c>
      <c r="O57" s="139"/>
      <c r="P57" s="139"/>
      <c r="Q57" s="177">
        <v>1250.0</v>
      </c>
      <c r="R57" s="189">
        <v>22.5</v>
      </c>
      <c r="S57" s="177">
        <f t="shared" si="35"/>
        <v>28.81</v>
      </c>
      <c r="T57" s="160">
        <f t="shared" si="38"/>
        <v>1</v>
      </c>
      <c r="U57" s="160">
        <f t="shared" si="36"/>
        <v>28.81</v>
      </c>
      <c r="V57" s="190">
        <f t="shared" si="12"/>
        <v>1238.10975</v>
      </c>
      <c r="W57" s="177">
        <f t="shared" ref="W57:X57" si="47">C57/100</f>
        <v>1</v>
      </c>
      <c r="X57" s="177">
        <f t="shared" si="47"/>
        <v>1.91</v>
      </c>
      <c r="Y57" s="177">
        <f t="shared" si="14"/>
        <v>28.81</v>
      </c>
      <c r="Z57" s="191">
        <f t="shared" si="15"/>
        <v>55.0271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26.0</v>
      </c>
      <c r="B58" s="192" t="s">
        <v>55</v>
      </c>
      <c r="C58" s="192">
        <v>101.0</v>
      </c>
      <c r="D58" s="192">
        <v>191.0</v>
      </c>
      <c r="E58" s="192">
        <v>2876.0</v>
      </c>
      <c r="F58" s="192"/>
      <c r="G58" s="192"/>
      <c r="H58" s="193" t="str">
        <f t="shared" si="7"/>
        <v/>
      </c>
      <c r="I58" s="192">
        <v>1.0</v>
      </c>
      <c r="J58" s="194">
        <f t="shared" si="8"/>
        <v>0</v>
      </c>
      <c r="K58" s="139"/>
      <c r="L58" s="195"/>
      <c r="M58" s="196">
        <f t="shared" si="18"/>
        <v>1</v>
      </c>
      <c r="N58" s="196"/>
      <c r="O58" s="139"/>
      <c r="P58" s="139"/>
      <c r="Q58" s="177">
        <v>1245.0</v>
      </c>
      <c r="R58" s="189">
        <v>22.5</v>
      </c>
      <c r="S58" s="177">
        <f t="shared" si="35"/>
        <v>28.76</v>
      </c>
      <c r="T58" s="160">
        <f t="shared" si="38"/>
        <v>1</v>
      </c>
      <c r="U58" s="160">
        <f t="shared" si="36"/>
        <v>28.76</v>
      </c>
      <c r="V58" s="190">
        <f t="shared" si="12"/>
        <v>1248.32061</v>
      </c>
      <c r="W58" s="177">
        <f t="shared" ref="W58:X58" si="48">C58/100</f>
        <v>1.01</v>
      </c>
      <c r="X58" s="177">
        <f t="shared" si="48"/>
        <v>1.91</v>
      </c>
      <c r="Y58" s="177">
        <f t="shared" si="14"/>
        <v>28.76</v>
      </c>
      <c r="Z58" s="191">
        <f t="shared" si="15"/>
        <v>55.480916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55</v>
      </c>
      <c r="C59" s="192">
        <v>100.0</v>
      </c>
      <c r="D59" s="192">
        <v>191.0</v>
      </c>
      <c r="E59" s="192">
        <v>2875.0</v>
      </c>
      <c r="F59" s="192"/>
      <c r="G59" s="192"/>
      <c r="H59" s="193" t="str">
        <f t="shared" si="7"/>
        <v/>
      </c>
      <c r="I59" s="192">
        <v>1.0</v>
      </c>
      <c r="J59" s="194">
        <f t="shared" si="8"/>
        <v>0</v>
      </c>
      <c r="K59" s="139"/>
      <c r="L59" s="195"/>
      <c r="M59" s="196">
        <f t="shared" si="18"/>
        <v>1</v>
      </c>
      <c r="N59" s="196"/>
      <c r="O59" s="139"/>
      <c r="P59" s="139"/>
      <c r="Q59" s="177">
        <v>1245.0</v>
      </c>
      <c r="R59" s="189">
        <v>22.5</v>
      </c>
      <c r="S59" s="177">
        <f t="shared" si="35"/>
        <v>28.75</v>
      </c>
      <c r="T59" s="160">
        <f t="shared" si="38"/>
        <v>1</v>
      </c>
      <c r="U59" s="160">
        <f t="shared" si="36"/>
        <v>28.75</v>
      </c>
      <c r="V59" s="190">
        <f t="shared" si="12"/>
        <v>1235.53125</v>
      </c>
      <c r="W59" s="177">
        <f t="shared" ref="W59:X59" si="49">C59/100</f>
        <v>1</v>
      </c>
      <c r="X59" s="177">
        <f t="shared" si="49"/>
        <v>1.91</v>
      </c>
      <c r="Y59" s="177">
        <f t="shared" si="14"/>
        <v>28.75</v>
      </c>
      <c r="Z59" s="191">
        <f t="shared" si="15"/>
        <v>54.9125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82" t="s">
        <v>68</v>
      </c>
      <c r="C60" s="183">
        <v>106.0</v>
      </c>
      <c r="D60" s="183">
        <v>205.0</v>
      </c>
      <c r="E60" s="183">
        <v>67.0</v>
      </c>
      <c r="F60" s="183"/>
      <c r="G60" s="183"/>
      <c r="H60" s="184" t="str">
        <f t="shared" si="7"/>
        <v/>
      </c>
      <c r="I60" s="183">
        <v>1.0</v>
      </c>
      <c r="J60" s="185">
        <f t="shared" si="8"/>
        <v>0</v>
      </c>
      <c r="K60" s="186"/>
      <c r="L60" s="265"/>
      <c r="M60" s="266">
        <f t="shared" si="18"/>
        <v>1</v>
      </c>
      <c r="N60" s="266"/>
      <c r="O60" s="186"/>
      <c r="P60" s="186"/>
      <c r="Q60" s="187">
        <v>35.0</v>
      </c>
      <c r="R60" s="189">
        <v>16.0</v>
      </c>
      <c r="S60" s="177">
        <f t="shared" si="35"/>
        <v>0.67</v>
      </c>
      <c r="T60" s="160">
        <f t="shared" si="38"/>
        <v>1</v>
      </c>
      <c r="U60" s="160">
        <f t="shared" si="36"/>
        <v>0.67</v>
      </c>
      <c r="V60" s="190">
        <f t="shared" si="12"/>
        <v>23.29456</v>
      </c>
      <c r="W60" s="177">
        <f t="shared" ref="W60:X60" si="50">C60/100</f>
        <v>1.06</v>
      </c>
      <c r="X60" s="177">
        <f t="shared" si="50"/>
        <v>2.05</v>
      </c>
      <c r="Y60" s="177">
        <f t="shared" si="14"/>
        <v>0.67</v>
      </c>
      <c r="Z60" s="191">
        <f t="shared" si="15"/>
        <v>1.45591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68</v>
      </c>
      <c r="C61" s="192">
        <v>107.0</v>
      </c>
      <c r="D61" s="192">
        <v>205.0</v>
      </c>
      <c r="E61" s="192">
        <v>57.0</v>
      </c>
      <c r="F61" s="192"/>
      <c r="G61" s="192"/>
      <c r="H61" s="193" t="str">
        <f t="shared" si="7"/>
        <v/>
      </c>
      <c r="I61" s="192">
        <v>1.0</v>
      </c>
      <c r="J61" s="194">
        <f t="shared" si="8"/>
        <v>0</v>
      </c>
      <c r="K61" s="139"/>
      <c r="L61" s="195"/>
      <c r="M61" s="196">
        <f t="shared" si="18"/>
        <v>1</v>
      </c>
      <c r="N61" s="196"/>
      <c r="O61" s="139"/>
      <c r="P61" s="139"/>
      <c r="Q61" s="177">
        <v>32.0</v>
      </c>
      <c r="R61" s="189">
        <v>16.0</v>
      </c>
      <c r="S61" s="177">
        <f t="shared" si="35"/>
        <v>0.57</v>
      </c>
      <c r="T61" s="160">
        <f t="shared" si="38"/>
        <v>1</v>
      </c>
      <c r="U61" s="160">
        <f t="shared" si="36"/>
        <v>0.57</v>
      </c>
      <c r="V61" s="190">
        <f t="shared" si="12"/>
        <v>20.00472</v>
      </c>
      <c r="W61" s="177">
        <f t="shared" ref="W61:X61" si="51">C61/100</f>
        <v>1.07</v>
      </c>
      <c r="X61" s="177">
        <f t="shared" si="51"/>
        <v>2.05</v>
      </c>
      <c r="Y61" s="177">
        <f t="shared" si="14"/>
        <v>0.57</v>
      </c>
      <c r="Z61" s="191">
        <f t="shared" si="15"/>
        <v>1.250295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2" t="s">
        <v>68</v>
      </c>
      <c r="C62" s="192">
        <v>110.0</v>
      </c>
      <c r="D62" s="192">
        <v>205.0</v>
      </c>
      <c r="E62" s="192">
        <v>2845.0</v>
      </c>
      <c r="F62" s="192"/>
      <c r="G62" s="192"/>
      <c r="H62" s="193" t="str">
        <f t="shared" si="7"/>
        <v/>
      </c>
      <c r="I62" s="192">
        <v>1.0</v>
      </c>
      <c r="J62" s="194">
        <f t="shared" si="8"/>
        <v>0</v>
      </c>
      <c r="K62" s="139"/>
      <c r="L62" s="195"/>
      <c r="M62" s="196">
        <f t="shared" si="18"/>
        <v>1</v>
      </c>
      <c r="N62" s="196"/>
      <c r="O62" s="139"/>
      <c r="P62" s="139"/>
      <c r="Q62" s="177">
        <v>990.0</v>
      </c>
      <c r="R62" s="189">
        <v>16.0</v>
      </c>
      <c r="S62" s="177">
        <f t="shared" si="35"/>
        <v>28.45</v>
      </c>
      <c r="T62" s="160">
        <f t="shared" si="38"/>
        <v>1</v>
      </c>
      <c r="U62" s="160">
        <f t="shared" si="36"/>
        <v>28.45</v>
      </c>
      <c r="V62" s="190">
        <f t="shared" si="12"/>
        <v>1026.476</v>
      </c>
      <c r="W62" s="177">
        <f t="shared" ref="W62:X62" si="52">C62/100</f>
        <v>1.1</v>
      </c>
      <c r="X62" s="177">
        <f t="shared" si="52"/>
        <v>2.05</v>
      </c>
      <c r="Y62" s="177">
        <f t="shared" si="14"/>
        <v>28.45</v>
      </c>
      <c r="Z62" s="191">
        <f t="shared" si="15"/>
        <v>64.15475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68</v>
      </c>
      <c r="C63" s="192">
        <v>106.0</v>
      </c>
      <c r="D63" s="192">
        <v>205.0</v>
      </c>
      <c r="E63" s="192">
        <v>2847.0</v>
      </c>
      <c r="F63" s="192"/>
      <c r="G63" s="192"/>
      <c r="H63" s="193" t="str">
        <f t="shared" si="7"/>
        <v/>
      </c>
      <c r="I63" s="192">
        <v>1.0</v>
      </c>
      <c r="J63" s="194">
        <f t="shared" si="8"/>
        <v>0</v>
      </c>
      <c r="K63" s="139"/>
      <c r="L63" s="195"/>
      <c r="M63" s="196">
        <f t="shared" si="18"/>
        <v>1</v>
      </c>
      <c r="N63" s="196"/>
      <c r="O63" s="139"/>
      <c r="P63" s="139"/>
      <c r="Q63" s="177">
        <v>985.0</v>
      </c>
      <c r="R63" s="189">
        <v>16.0</v>
      </c>
      <c r="S63" s="177">
        <f t="shared" si="35"/>
        <v>28.47</v>
      </c>
      <c r="T63" s="160">
        <f t="shared" si="38"/>
        <v>1</v>
      </c>
      <c r="U63" s="160">
        <f t="shared" si="36"/>
        <v>28.47</v>
      </c>
      <c r="V63" s="190">
        <f t="shared" si="12"/>
        <v>989.84496</v>
      </c>
      <c r="W63" s="177">
        <f t="shared" ref="W63:X63" si="53">C63/100</f>
        <v>1.06</v>
      </c>
      <c r="X63" s="177">
        <f t="shared" si="53"/>
        <v>2.05</v>
      </c>
      <c r="Y63" s="177">
        <f t="shared" si="14"/>
        <v>28.47</v>
      </c>
      <c r="Z63" s="191">
        <f t="shared" si="15"/>
        <v>61.86531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82" t="s">
        <v>91</v>
      </c>
      <c r="C64" s="183">
        <v>87.0</v>
      </c>
      <c r="D64" s="183">
        <v>197.0</v>
      </c>
      <c r="E64" s="183">
        <v>206.0</v>
      </c>
      <c r="F64" s="183"/>
      <c r="G64" s="183"/>
      <c r="H64" s="184" t="str">
        <f t="shared" si="7"/>
        <v/>
      </c>
      <c r="I64" s="183">
        <v>1.0</v>
      </c>
      <c r="J64" s="185">
        <f t="shared" si="8"/>
        <v>0</v>
      </c>
      <c r="K64" s="186"/>
      <c r="L64" s="265"/>
      <c r="M64" s="266">
        <f t="shared" si="18"/>
        <v>1</v>
      </c>
      <c r="N64" s="266"/>
      <c r="O64" s="186"/>
      <c r="P64" s="186"/>
      <c r="Q64" s="187">
        <v>92.0</v>
      </c>
      <c r="R64" s="189">
        <v>23.0</v>
      </c>
      <c r="S64" s="177">
        <f t="shared" si="35"/>
        <v>2.06</v>
      </c>
      <c r="T64" s="160">
        <f t="shared" si="38"/>
        <v>1</v>
      </c>
      <c r="U64" s="160">
        <f t="shared" si="36"/>
        <v>2.06</v>
      </c>
      <c r="V64" s="190">
        <f t="shared" si="12"/>
        <v>81.204582</v>
      </c>
      <c r="W64" s="177">
        <f t="shared" ref="W64:X64" si="54">C64/100</f>
        <v>0.87</v>
      </c>
      <c r="X64" s="177">
        <f t="shared" si="54"/>
        <v>1.97</v>
      </c>
      <c r="Y64" s="177">
        <f t="shared" si="14"/>
        <v>2.06</v>
      </c>
      <c r="Z64" s="191">
        <f t="shared" si="15"/>
        <v>3.530634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91</v>
      </c>
      <c r="C65" s="192">
        <v>102.0</v>
      </c>
      <c r="D65" s="192">
        <v>61.0</v>
      </c>
      <c r="E65" s="192">
        <v>206.0</v>
      </c>
      <c r="F65" s="192"/>
      <c r="G65" s="192"/>
      <c r="H65" s="193" t="str">
        <f t="shared" si="7"/>
        <v/>
      </c>
      <c r="I65" s="192">
        <v>1.0</v>
      </c>
      <c r="J65" s="194">
        <f t="shared" si="8"/>
        <v>0</v>
      </c>
      <c r="K65" s="139"/>
      <c r="L65" s="195"/>
      <c r="M65" s="196">
        <f t="shared" si="18"/>
        <v>1</v>
      </c>
      <c r="N65" s="196"/>
      <c r="O65" s="139"/>
      <c r="P65" s="139"/>
      <c r="Q65" s="177">
        <v>51.0</v>
      </c>
      <c r="R65" s="189">
        <v>23.0</v>
      </c>
      <c r="S65" s="177">
        <f t="shared" si="35"/>
        <v>2.06</v>
      </c>
      <c r="T65" s="160">
        <f t="shared" si="38"/>
        <v>1</v>
      </c>
      <c r="U65" s="160">
        <f t="shared" si="36"/>
        <v>2.06</v>
      </c>
      <c r="V65" s="190">
        <f t="shared" si="12"/>
        <v>29.479836</v>
      </c>
      <c r="W65" s="177">
        <f t="shared" ref="W65:X65" si="55">C65/100</f>
        <v>1.02</v>
      </c>
      <c r="X65" s="177">
        <f t="shared" si="55"/>
        <v>0.61</v>
      </c>
      <c r="Y65" s="177">
        <f t="shared" si="14"/>
        <v>2.06</v>
      </c>
      <c r="Z65" s="191">
        <f t="shared" si="15"/>
        <v>1.281732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91</v>
      </c>
      <c r="C66" s="192">
        <v>103.0</v>
      </c>
      <c r="D66" s="192">
        <v>64.0</v>
      </c>
      <c r="E66" s="192">
        <v>206.0</v>
      </c>
      <c r="F66" s="192"/>
      <c r="G66" s="192"/>
      <c r="H66" s="193" t="str">
        <f t="shared" si="7"/>
        <v/>
      </c>
      <c r="I66" s="192">
        <v>1.0</v>
      </c>
      <c r="J66" s="194">
        <f t="shared" si="8"/>
        <v>0</v>
      </c>
      <c r="K66" s="139"/>
      <c r="L66" s="195"/>
      <c r="M66" s="196">
        <f t="shared" si="18"/>
        <v>1</v>
      </c>
      <c r="N66" s="196"/>
      <c r="O66" s="139"/>
      <c r="P66" s="139"/>
      <c r="Q66" s="177">
        <v>51.0</v>
      </c>
      <c r="R66" s="189">
        <v>23.0</v>
      </c>
      <c r="S66" s="177">
        <f t="shared" si="35"/>
        <v>2.06</v>
      </c>
      <c r="T66" s="160">
        <f t="shared" si="38"/>
        <v>1</v>
      </c>
      <c r="U66" s="160">
        <f t="shared" si="36"/>
        <v>2.06</v>
      </c>
      <c r="V66" s="190">
        <f t="shared" si="12"/>
        <v>31.232896</v>
      </c>
      <c r="W66" s="177">
        <f t="shared" ref="W66:X66" si="56">C66/100</f>
        <v>1.03</v>
      </c>
      <c r="X66" s="177">
        <f t="shared" si="56"/>
        <v>0.64</v>
      </c>
      <c r="Y66" s="177">
        <f t="shared" si="14"/>
        <v>2.06</v>
      </c>
      <c r="Z66" s="191">
        <f t="shared" si="15"/>
        <v>1.357952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91</v>
      </c>
      <c r="C67" s="192">
        <v>98.0</v>
      </c>
      <c r="D67" s="192">
        <v>203.0</v>
      </c>
      <c r="E67" s="192">
        <v>205.0</v>
      </c>
      <c r="F67" s="192"/>
      <c r="G67" s="192"/>
      <c r="H67" s="193" t="str">
        <f t="shared" si="7"/>
        <v/>
      </c>
      <c r="I67" s="192">
        <v>1.0</v>
      </c>
      <c r="J67" s="194">
        <f t="shared" si="8"/>
        <v>0</v>
      </c>
      <c r="K67" s="139"/>
      <c r="L67" s="195"/>
      <c r="M67" s="196">
        <f t="shared" si="18"/>
        <v>1</v>
      </c>
      <c r="N67" s="196"/>
      <c r="O67" s="139"/>
      <c r="P67" s="139"/>
      <c r="Q67" s="177">
        <v>96.0</v>
      </c>
      <c r="R67" s="189">
        <v>23.0</v>
      </c>
      <c r="S67" s="177">
        <f t="shared" si="35"/>
        <v>2.05</v>
      </c>
      <c r="T67" s="160">
        <f t="shared" si="38"/>
        <v>1</v>
      </c>
      <c r="U67" s="160">
        <f t="shared" si="36"/>
        <v>2.05</v>
      </c>
      <c r="V67" s="190">
        <f t="shared" si="12"/>
        <v>93.80021</v>
      </c>
      <c r="W67" s="177">
        <f t="shared" ref="W67:X67" si="57">C67/100</f>
        <v>0.98</v>
      </c>
      <c r="X67" s="177">
        <f t="shared" si="57"/>
        <v>2.03</v>
      </c>
      <c r="Y67" s="177">
        <f t="shared" si="14"/>
        <v>2.05</v>
      </c>
      <c r="Z67" s="191">
        <f t="shared" si="15"/>
        <v>4.07827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91</v>
      </c>
      <c r="C68" s="192">
        <v>109.0</v>
      </c>
      <c r="D68" s="192">
        <v>213.0</v>
      </c>
      <c r="E68" s="192">
        <v>206.0</v>
      </c>
      <c r="F68" s="192"/>
      <c r="G68" s="192"/>
      <c r="H68" s="193" t="str">
        <f t="shared" si="7"/>
        <v/>
      </c>
      <c r="I68" s="192">
        <v>1.0</v>
      </c>
      <c r="J68" s="194">
        <f t="shared" si="8"/>
        <v>0</v>
      </c>
      <c r="K68" s="139"/>
      <c r="L68" s="195"/>
      <c r="M68" s="196">
        <f t="shared" si="18"/>
        <v>1</v>
      </c>
      <c r="N68" s="196"/>
      <c r="O68" s="139"/>
      <c r="P68" s="139"/>
      <c r="Q68" s="177">
        <v>114.0</v>
      </c>
      <c r="R68" s="189">
        <v>23.0</v>
      </c>
      <c r="S68" s="177">
        <f t="shared" si="35"/>
        <v>2.06</v>
      </c>
      <c r="T68" s="160">
        <f t="shared" si="38"/>
        <v>1</v>
      </c>
      <c r="U68" s="160">
        <f t="shared" si="36"/>
        <v>2.06</v>
      </c>
      <c r="V68" s="190">
        <f t="shared" si="12"/>
        <v>110.002146</v>
      </c>
      <c r="W68" s="177">
        <f t="shared" ref="W68:X68" si="58">C68/100</f>
        <v>1.09</v>
      </c>
      <c r="X68" s="177">
        <f t="shared" si="58"/>
        <v>2.13</v>
      </c>
      <c r="Y68" s="177">
        <f t="shared" si="14"/>
        <v>2.06</v>
      </c>
      <c r="Z68" s="191">
        <f t="shared" si="15"/>
        <v>4.782702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91</v>
      </c>
      <c r="C69" s="192">
        <v>106.0</v>
      </c>
      <c r="D69" s="192">
        <v>201.0</v>
      </c>
      <c r="E69" s="192">
        <v>205.0</v>
      </c>
      <c r="F69" s="192"/>
      <c r="G69" s="192"/>
      <c r="H69" s="193" t="str">
        <f t="shared" si="7"/>
        <v/>
      </c>
      <c r="I69" s="192">
        <v>1.0</v>
      </c>
      <c r="J69" s="194">
        <f t="shared" si="8"/>
        <v>0</v>
      </c>
      <c r="K69" s="139"/>
      <c r="L69" s="195"/>
      <c r="M69" s="196">
        <f t="shared" si="18"/>
        <v>1</v>
      </c>
      <c r="N69" s="196"/>
      <c r="O69" s="139"/>
      <c r="P69" s="139"/>
      <c r="Q69" s="177">
        <v>104.0</v>
      </c>
      <c r="R69" s="189">
        <v>23.0</v>
      </c>
      <c r="S69" s="177">
        <f t="shared" si="35"/>
        <v>2.05</v>
      </c>
      <c r="T69" s="160">
        <f t="shared" si="38"/>
        <v>1</v>
      </c>
      <c r="U69" s="160">
        <f t="shared" si="36"/>
        <v>2.05</v>
      </c>
      <c r="V69" s="190">
        <f t="shared" si="12"/>
        <v>100.45779</v>
      </c>
      <c r="W69" s="177">
        <f t="shared" ref="W69:X69" si="59">C69/100</f>
        <v>1.06</v>
      </c>
      <c r="X69" s="177">
        <f t="shared" si="59"/>
        <v>2.01</v>
      </c>
      <c r="Y69" s="177">
        <f t="shared" si="14"/>
        <v>2.05</v>
      </c>
      <c r="Z69" s="191">
        <f t="shared" si="15"/>
        <v>4.36773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91</v>
      </c>
      <c r="C70" s="192">
        <v>95.0</v>
      </c>
      <c r="D70" s="192">
        <v>191.0</v>
      </c>
      <c r="E70" s="192">
        <v>206.0</v>
      </c>
      <c r="F70" s="192"/>
      <c r="G70" s="192"/>
      <c r="H70" s="193" t="str">
        <f t="shared" si="7"/>
        <v/>
      </c>
      <c r="I70" s="192">
        <v>1.0</v>
      </c>
      <c r="J70" s="194">
        <f t="shared" si="8"/>
        <v>0</v>
      </c>
      <c r="K70" s="139"/>
      <c r="L70" s="195"/>
      <c r="M70" s="196"/>
      <c r="N70" s="196"/>
      <c r="O70" s="139"/>
      <c r="P70" s="139"/>
      <c r="Q70" s="177">
        <v>101.0</v>
      </c>
      <c r="R70" s="189">
        <v>23.0</v>
      </c>
      <c r="S70" s="177">
        <f t="shared" si="35"/>
        <v>2.06</v>
      </c>
      <c r="T70" s="160">
        <f t="shared" si="38"/>
        <v>1</v>
      </c>
      <c r="U70" s="160">
        <f t="shared" si="36"/>
        <v>2.06</v>
      </c>
      <c r="V70" s="190">
        <f t="shared" si="12"/>
        <v>85.97101</v>
      </c>
      <c r="W70" s="177">
        <f t="shared" ref="W70:X70" si="60">C70/100</f>
        <v>0.95</v>
      </c>
      <c r="X70" s="177">
        <f t="shared" si="60"/>
        <v>1.91</v>
      </c>
      <c r="Y70" s="177">
        <f t="shared" si="14"/>
        <v>2.06</v>
      </c>
      <c r="Z70" s="191">
        <f t="shared" si="15"/>
        <v>3.73787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91</v>
      </c>
      <c r="C71" s="192">
        <v>70.0</v>
      </c>
      <c r="D71" s="192">
        <v>181.0</v>
      </c>
      <c r="E71" s="192">
        <v>204.0</v>
      </c>
      <c r="F71" s="192"/>
      <c r="G71" s="192"/>
      <c r="H71" s="193" t="str">
        <f t="shared" si="7"/>
        <v/>
      </c>
      <c r="I71" s="192">
        <v>1.0</v>
      </c>
      <c r="J71" s="194">
        <f t="shared" si="8"/>
        <v>0</v>
      </c>
      <c r="K71" s="139"/>
      <c r="L71" s="195"/>
      <c r="M71" s="196"/>
      <c r="N71" s="196"/>
      <c r="O71" s="139"/>
      <c r="P71" s="139"/>
      <c r="Q71" s="177">
        <v>53.0</v>
      </c>
      <c r="R71" s="189">
        <v>23.0</v>
      </c>
      <c r="S71" s="177">
        <f t="shared" si="35"/>
        <v>2.04</v>
      </c>
      <c r="T71" s="160">
        <f t="shared" si="38"/>
        <v>1</v>
      </c>
      <c r="U71" s="160">
        <f t="shared" si="36"/>
        <v>2.04</v>
      </c>
      <c r="V71" s="190">
        <f t="shared" si="12"/>
        <v>59.44764</v>
      </c>
      <c r="W71" s="177">
        <f t="shared" ref="W71:X71" si="61">C71/100</f>
        <v>0.7</v>
      </c>
      <c r="X71" s="177">
        <f t="shared" si="61"/>
        <v>1.81</v>
      </c>
      <c r="Y71" s="177">
        <f t="shared" si="14"/>
        <v>2.04</v>
      </c>
      <c r="Z71" s="191">
        <f t="shared" si="15"/>
        <v>2.58468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91</v>
      </c>
      <c r="C72" s="192">
        <v>104.0</v>
      </c>
      <c r="D72" s="192">
        <v>2878.0</v>
      </c>
      <c r="E72" s="192">
        <v>205.0</v>
      </c>
      <c r="F72" s="192"/>
      <c r="G72" s="192"/>
      <c r="H72" s="193" t="str">
        <f t="shared" si="7"/>
        <v/>
      </c>
      <c r="I72" s="192">
        <v>1.0</v>
      </c>
      <c r="J72" s="194">
        <f t="shared" si="8"/>
        <v>0</v>
      </c>
      <c r="K72" s="139"/>
      <c r="L72" s="195"/>
      <c r="M72" s="196"/>
      <c r="N72" s="196"/>
      <c r="O72" s="139"/>
      <c r="P72" s="139"/>
      <c r="Q72" s="177">
        <v>1530.0</v>
      </c>
      <c r="R72" s="189">
        <v>23.0</v>
      </c>
      <c r="S72" s="177">
        <f t="shared" si="35"/>
        <v>2.05</v>
      </c>
      <c r="T72" s="160">
        <f t="shared" si="38"/>
        <v>1</v>
      </c>
      <c r="U72" s="160">
        <f t="shared" si="36"/>
        <v>2.05</v>
      </c>
      <c r="V72" s="190">
        <f t="shared" si="12"/>
        <v>1411.25608</v>
      </c>
      <c r="W72" s="177">
        <f t="shared" ref="W72:X72" si="62">C72/100</f>
        <v>1.04</v>
      </c>
      <c r="X72" s="177">
        <f t="shared" si="62"/>
        <v>28.78</v>
      </c>
      <c r="Y72" s="177">
        <f t="shared" si="14"/>
        <v>2.05</v>
      </c>
      <c r="Z72" s="191">
        <f t="shared" si="15"/>
        <v>61.35896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91</v>
      </c>
      <c r="C73" s="192">
        <v>112.0</v>
      </c>
      <c r="D73" s="192">
        <v>2868.0</v>
      </c>
      <c r="E73" s="192">
        <v>205.0</v>
      </c>
      <c r="F73" s="192"/>
      <c r="G73" s="192"/>
      <c r="H73" s="193" t="str">
        <f t="shared" si="7"/>
        <v/>
      </c>
      <c r="I73" s="192">
        <v>1.0</v>
      </c>
      <c r="J73" s="194">
        <f t="shared" si="8"/>
        <v>0</v>
      </c>
      <c r="K73" s="139"/>
      <c r="L73" s="195"/>
      <c r="M73" s="196"/>
      <c r="N73" s="196"/>
      <c r="O73" s="139"/>
      <c r="P73" s="139"/>
      <c r="Q73" s="177">
        <v>1535.0</v>
      </c>
      <c r="R73" s="189">
        <v>23.0</v>
      </c>
      <c r="S73" s="177">
        <f t="shared" si="35"/>
        <v>2.05</v>
      </c>
      <c r="T73" s="160">
        <f t="shared" si="38"/>
        <v>1</v>
      </c>
      <c r="U73" s="160">
        <f t="shared" si="36"/>
        <v>2.05</v>
      </c>
      <c r="V73" s="190">
        <f t="shared" si="12"/>
        <v>1514.53344</v>
      </c>
      <c r="W73" s="177">
        <f t="shared" ref="W73:X73" si="63">C73/100</f>
        <v>1.12</v>
      </c>
      <c r="X73" s="177">
        <f t="shared" si="63"/>
        <v>28.68</v>
      </c>
      <c r="Y73" s="177">
        <f t="shared" si="14"/>
        <v>2.05</v>
      </c>
      <c r="Z73" s="191">
        <f t="shared" si="15"/>
        <v>65.84928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2" t="s">
        <v>91</v>
      </c>
      <c r="C74" s="192">
        <v>112.0</v>
      </c>
      <c r="D74" s="192">
        <v>2595.0</v>
      </c>
      <c r="E74" s="192">
        <v>205.0</v>
      </c>
      <c r="F74" s="192"/>
      <c r="G74" s="192"/>
      <c r="H74" s="193" t="str">
        <f t="shared" si="7"/>
        <v/>
      </c>
      <c r="I74" s="192">
        <v>1.0</v>
      </c>
      <c r="J74" s="194">
        <f t="shared" si="8"/>
        <v>0</v>
      </c>
      <c r="K74" s="139"/>
      <c r="L74" s="195"/>
      <c r="M74" s="196"/>
      <c r="N74" s="196"/>
      <c r="O74" s="139"/>
      <c r="P74" s="139"/>
      <c r="Q74" s="177">
        <v>1380.0</v>
      </c>
      <c r="R74" s="189">
        <v>23.0</v>
      </c>
      <c r="S74" s="177">
        <f t="shared" si="35"/>
        <v>2.05</v>
      </c>
      <c r="T74" s="160">
        <f t="shared" si="38"/>
        <v>1</v>
      </c>
      <c r="U74" s="160">
        <f t="shared" si="36"/>
        <v>2.05</v>
      </c>
      <c r="V74" s="190">
        <f t="shared" si="12"/>
        <v>1370.3676</v>
      </c>
      <c r="W74" s="177">
        <f t="shared" ref="W74:X74" si="64">C74/100</f>
        <v>1.12</v>
      </c>
      <c r="X74" s="177">
        <f t="shared" si="64"/>
        <v>25.95</v>
      </c>
      <c r="Y74" s="177">
        <f t="shared" si="14"/>
        <v>2.05</v>
      </c>
      <c r="Z74" s="191">
        <f t="shared" si="15"/>
        <v>59.5812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51.0</v>
      </c>
      <c r="B75" s="192"/>
      <c r="C75" s="192"/>
      <c r="D75" s="192"/>
      <c r="E75" s="192"/>
      <c r="F75" s="192"/>
      <c r="G75" s="192"/>
      <c r="H75" s="193" t="str">
        <f t="shared" si="7"/>
        <v/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35"/>
        <v>0</v>
      </c>
      <c r="T75" s="160" t="str">
        <f t="shared" si="38"/>
        <v/>
      </c>
      <c r="U75" s="160">
        <f t="shared" si="36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52.0</v>
      </c>
      <c r="B76" s="192"/>
      <c r="C76" s="192"/>
      <c r="D76" s="192"/>
      <c r="E76" s="192"/>
      <c r="F76" s="192"/>
      <c r="G76" s="192"/>
      <c r="H76" s="193" t="str">
        <f t="shared" si="7"/>
        <v/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35"/>
        <v>0</v>
      </c>
      <c r="T76" s="160" t="str">
        <f t="shared" si="38"/>
        <v/>
      </c>
      <c r="U76" s="160">
        <f t="shared" si="36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53.0</v>
      </c>
      <c r="B77" s="192"/>
      <c r="C77" s="192"/>
      <c r="D77" s="192"/>
      <c r="E77" s="192"/>
      <c r="F77" s="192"/>
      <c r="G77" s="192"/>
      <c r="H77" s="193" t="str">
        <f t="shared" si="7"/>
        <v/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35"/>
        <v>0</v>
      </c>
      <c r="T77" s="160" t="str">
        <f t="shared" si="38"/>
        <v/>
      </c>
      <c r="U77" s="160">
        <f t="shared" si="36"/>
        <v>0</v>
      </c>
      <c r="V77" s="190">
        <f t="shared" si="12"/>
        <v>0</v>
      </c>
      <c r="W77" s="177">
        <f t="shared" ref="W77:X77" si="67">C77/100</f>
        <v>0</v>
      </c>
      <c r="X77" s="177">
        <f t="shared" si="67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54.0</v>
      </c>
      <c r="B78" s="192"/>
      <c r="C78" s="192"/>
      <c r="D78" s="192"/>
      <c r="E78" s="192"/>
      <c r="F78" s="192"/>
      <c r="G78" s="192"/>
      <c r="H78" s="193" t="str">
        <f t="shared" si="7"/>
        <v/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35"/>
        <v>0</v>
      </c>
      <c r="T78" s="160" t="str">
        <f t="shared" si="38"/>
        <v/>
      </c>
      <c r="U78" s="160">
        <f t="shared" si="36"/>
        <v>0</v>
      </c>
      <c r="V78" s="190">
        <f t="shared" si="12"/>
        <v>0</v>
      </c>
      <c r="W78" s="177">
        <f t="shared" ref="W78:X78" si="68">C78/100</f>
        <v>0</v>
      </c>
      <c r="X78" s="177">
        <f t="shared" si="68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55.0</v>
      </c>
      <c r="B79" s="192"/>
      <c r="C79" s="192"/>
      <c r="D79" s="192"/>
      <c r="E79" s="192"/>
      <c r="F79" s="192"/>
      <c r="G79" s="192"/>
      <c r="H79" s="193" t="str">
        <f t="shared" si="7"/>
        <v/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35"/>
        <v>0</v>
      </c>
      <c r="T79" s="160" t="str">
        <f t="shared" si="38"/>
        <v/>
      </c>
      <c r="U79" s="160">
        <f t="shared" si="36"/>
        <v>0</v>
      </c>
      <c r="V79" s="190">
        <f t="shared" si="12"/>
        <v>0</v>
      </c>
      <c r="W79" s="177">
        <f t="shared" ref="W79:X79" si="69">C79/100</f>
        <v>0</v>
      </c>
      <c r="X79" s="177">
        <f t="shared" si="69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56.0</v>
      </c>
      <c r="B80" s="192"/>
      <c r="C80" s="192"/>
      <c r="D80" s="192"/>
      <c r="E80" s="192"/>
      <c r="F80" s="192"/>
      <c r="G80" s="192"/>
      <c r="H80" s="193" t="str">
        <f t="shared" si="7"/>
        <v/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35"/>
        <v>0</v>
      </c>
      <c r="T80" s="160" t="str">
        <f t="shared" si="38"/>
        <v/>
      </c>
      <c r="U80" s="160">
        <f t="shared" si="36"/>
        <v>0</v>
      </c>
      <c r="V80" s="190">
        <f t="shared" si="12"/>
        <v>0</v>
      </c>
      <c r="W80" s="177">
        <f t="shared" ref="W80:X80" si="70">C80/100</f>
        <v>0</v>
      </c>
      <c r="X80" s="177">
        <f t="shared" si="70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57.0</v>
      </c>
      <c r="B81" s="192"/>
      <c r="C81" s="192"/>
      <c r="D81" s="192"/>
      <c r="E81" s="192"/>
      <c r="F81" s="192"/>
      <c r="G81" s="192"/>
      <c r="H81" s="193" t="str">
        <f t="shared" si="7"/>
        <v/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77"/>
      <c r="R81" s="141"/>
      <c r="S81" s="177">
        <f t="shared" si="35"/>
        <v>0</v>
      </c>
      <c r="T81" s="160" t="str">
        <f t="shared" si="38"/>
        <v/>
      </c>
      <c r="U81" s="160">
        <f t="shared" si="36"/>
        <v>0</v>
      </c>
      <c r="V81" s="190">
        <f t="shared" si="12"/>
        <v>0</v>
      </c>
      <c r="W81" s="177">
        <f t="shared" ref="W81:X81" si="71">C81/100</f>
        <v>0</v>
      </c>
      <c r="X81" s="177">
        <f t="shared" si="71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58.0</v>
      </c>
      <c r="B82" s="192"/>
      <c r="C82" s="192"/>
      <c r="D82" s="192"/>
      <c r="E82" s="192"/>
      <c r="F82" s="192"/>
      <c r="G82" s="192"/>
      <c r="H82" s="193" t="str">
        <f t="shared" si="7"/>
        <v/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77"/>
      <c r="R82" s="141"/>
      <c r="S82" s="177">
        <f t="shared" si="35"/>
        <v>0</v>
      </c>
      <c r="T82" s="160" t="str">
        <f t="shared" si="38"/>
        <v/>
      </c>
      <c r="U82" s="160">
        <f t="shared" si="36"/>
        <v>0</v>
      </c>
      <c r="V82" s="190">
        <f t="shared" si="12"/>
        <v>0</v>
      </c>
      <c r="W82" s="177">
        <f t="shared" ref="W82:X82" si="72">C82/100</f>
        <v>0</v>
      </c>
      <c r="X82" s="177">
        <f t="shared" si="72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59.0</v>
      </c>
      <c r="B83" s="192"/>
      <c r="C83" s="192"/>
      <c r="D83" s="192"/>
      <c r="E83" s="192"/>
      <c r="F83" s="192"/>
      <c r="G83" s="192"/>
      <c r="H83" s="193" t="str">
        <f t="shared" si="7"/>
        <v/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77"/>
      <c r="R83" s="141"/>
      <c r="S83" s="177">
        <f t="shared" si="35"/>
        <v>0</v>
      </c>
      <c r="T83" s="160" t="str">
        <f t="shared" si="38"/>
        <v/>
      </c>
      <c r="U83" s="160">
        <f t="shared" si="36"/>
        <v>0</v>
      </c>
      <c r="V83" s="190">
        <f t="shared" si="12"/>
        <v>0</v>
      </c>
      <c r="W83" s="177">
        <f t="shared" ref="W83:X83" si="73">C83/100</f>
        <v>0</v>
      </c>
      <c r="X83" s="177">
        <f t="shared" si="73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60.0</v>
      </c>
      <c r="B84" s="192"/>
      <c r="C84" s="192"/>
      <c r="D84" s="192"/>
      <c r="E84" s="192"/>
      <c r="F84" s="192"/>
      <c r="G84" s="192"/>
      <c r="H84" s="193" t="str">
        <f t="shared" si="7"/>
        <v/>
      </c>
      <c r="I84" s="192"/>
      <c r="J84" s="194">
        <f t="shared" si="8"/>
        <v>0</v>
      </c>
      <c r="K84" s="139"/>
      <c r="L84" s="177">
        <f t="shared" ref="L84:L85" si="75">D84*25.4/1000</f>
        <v>0</v>
      </c>
      <c r="M84" s="160" t="str">
        <f t="shared" ref="M84:M99" si="76">+I84</f>
        <v/>
      </c>
      <c r="N84" s="160">
        <f t="shared" ref="N84:N85" si="77">M84*L84</f>
        <v>0</v>
      </c>
      <c r="O84" s="139"/>
      <c r="P84" s="139"/>
      <c r="Q84" s="177"/>
      <c r="R84" s="141"/>
      <c r="S84" s="177">
        <f t="shared" si="35"/>
        <v>0</v>
      </c>
      <c r="T84" s="160" t="str">
        <f t="shared" si="38"/>
        <v/>
      </c>
      <c r="U84" s="160">
        <f t="shared" si="36"/>
        <v>0</v>
      </c>
      <c r="V84" s="190">
        <f t="shared" si="12"/>
        <v>0</v>
      </c>
      <c r="W84" s="177">
        <f t="shared" ref="W84:X84" si="74">C84/100</f>
        <v>0</v>
      </c>
      <c r="X84" s="177">
        <f t="shared" si="74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61.0</v>
      </c>
      <c r="B85" s="192"/>
      <c r="C85" s="192"/>
      <c r="D85" s="192"/>
      <c r="E85" s="192"/>
      <c r="F85" s="192"/>
      <c r="G85" s="192"/>
      <c r="H85" s="193" t="str">
        <f t="shared" si="7"/>
        <v/>
      </c>
      <c r="I85" s="192"/>
      <c r="J85" s="194">
        <f t="shared" si="8"/>
        <v>0</v>
      </c>
      <c r="K85" s="139"/>
      <c r="L85" s="195">
        <f t="shared" si="75"/>
        <v>0</v>
      </c>
      <c r="M85" s="196" t="str">
        <f t="shared" si="76"/>
        <v/>
      </c>
      <c r="N85" s="196">
        <f t="shared" si="77"/>
        <v>0</v>
      </c>
      <c r="O85" s="139"/>
      <c r="P85" s="139"/>
      <c r="Q85" s="177"/>
      <c r="R85" s="141"/>
      <c r="S85" s="177">
        <f t="shared" si="35"/>
        <v>0</v>
      </c>
      <c r="T85" s="160" t="str">
        <f t="shared" si="38"/>
        <v/>
      </c>
      <c r="U85" s="160">
        <f t="shared" si="36"/>
        <v>0</v>
      </c>
      <c r="V85" s="190">
        <f t="shared" si="12"/>
        <v>0</v>
      </c>
      <c r="W85" s="177">
        <f t="shared" ref="W85:X85" si="78">C85/100</f>
        <v>0</v>
      </c>
      <c r="X85" s="177">
        <f t="shared" si="78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62.0</v>
      </c>
      <c r="B86" s="192"/>
      <c r="C86" s="192"/>
      <c r="D86" s="192"/>
      <c r="E86" s="192"/>
      <c r="F86" s="192"/>
      <c r="G86" s="192"/>
      <c r="H86" s="193" t="str">
        <f t="shared" si="7"/>
        <v/>
      </c>
      <c r="I86" s="192"/>
      <c r="J86" s="194">
        <f t="shared" si="8"/>
        <v>0</v>
      </c>
      <c r="K86" s="139"/>
      <c r="L86" s="195"/>
      <c r="M86" s="196" t="str">
        <f t="shared" si="76"/>
        <v/>
      </c>
      <c r="N86" s="196"/>
      <c r="O86" s="139"/>
      <c r="P86" s="139"/>
      <c r="Q86" s="177"/>
      <c r="R86" s="141"/>
      <c r="S86" s="177">
        <f t="shared" si="35"/>
        <v>0</v>
      </c>
      <c r="T86" s="160" t="str">
        <f t="shared" si="38"/>
        <v/>
      </c>
      <c r="U86" s="160">
        <f t="shared" si="36"/>
        <v>0</v>
      </c>
      <c r="V86" s="190">
        <f t="shared" si="12"/>
        <v>0</v>
      </c>
      <c r="W86" s="177">
        <f t="shared" ref="W86:X86" si="79">C86/100</f>
        <v>0</v>
      </c>
      <c r="X86" s="177">
        <f t="shared" si="79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63.0</v>
      </c>
      <c r="B87" s="192"/>
      <c r="C87" s="192"/>
      <c r="D87" s="192"/>
      <c r="E87" s="192"/>
      <c r="F87" s="192"/>
      <c r="G87" s="192"/>
      <c r="H87" s="193" t="str">
        <f t="shared" si="7"/>
        <v/>
      </c>
      <c r="I87" s="192"/>
      <c r="J87" s="194">
        <f t="shared" si="8"/>
        <v>0</v>
      </c>
      <c r="K87" s="139"/>
      <c r="L87" s="195"/>
      <c r="M87" s="196" t="str">
        <f t="shared" si="76"/>
        <v/>
      </c>
      <c r="N87" s="196"/>
      <c r="O87" s="139"/>
      <c r="P87" s="139"/>
      <c r="Q87" s="177"/>
      <c r="R87" s="141"/>
      <c r="S87" s="177">
        <f t="shared" si="35"/>
        <v>0</v>
      </c>
      <c r="T87" s="160" t="str">
        <f t="shared" si="38"/>
        <v/>
      </c>
      <c r="U87" s="160">
        <f t="shared" si="36"/>
        <v>0</v>
      </c>
      <c r="V87" s="190">
        <f t="shared" si="12"/>
        <v>0</v>
      </c>
      <c r="W87" s="177">
        <f t="shared" ref="W87:X87" si="80">C87/100</f>
        <v>0</v>
      </c>
      <c r="X87" s="177">
        <f t="shared" si="80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64.0</v>
      </c>
      <c r="B88" s="192"/>
      <c r="C88" s="192"/>
      <c r="D88" s="192"/>
      <c r="E88" s="192"/>
      <c r="F88" s="192"/>
      <c r="G88" s="192"/>
      <c r="H88" s="193" t="str">
        <f t="shared" si="7"/>
        <v/>
      </c>
      <c r="I88" s="192"/>
      <c r="J88" s="194">
        <f t="shared" si="8"/>
        <v>0</v>
      </c>
      <c r="K88" s="139"/>
      <c r="L88" s="195"/>
      <c r="M88" s="196" t="str">
        <f t="shared" si="76"/>
        <v/>
      </c>
      <c r="N88" s="196"/>
      <c r="O88" s="139"/>
      <c r="P88" s="139"/>
      <c r="Q88" s="177"/>
      <c r="R88" s="141"/>
      <c r="S88" s="177">
        <f t="shared" si="35"/>
        <v>0</v>
      </c>
      <c r="T88" s="160" t="str">
        <f t="shared" si="38"/>
        <v/>
      </c>
      <c r="U88" s="160">
        <f t="shared" si="36"/>
        <v>0</v>
      </c>
      <c r="V88" s="190">
        <f t="shared" si="12"/>
        <v>0</v>
      </c>
      <c r="W88" s="177">
        <f t="shared" ref="W88:X88" si="81">C88/100</f>
        <v>0</v>
      </c>
      <c r="X88" s="177">
        <f t="shared" si="81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65.0</v>
      </c>
      <c r="B89" s="192"/>
      <c r="C89" s="192"/>
      <c r="D89" s="192"/>
      <c r="E89" s="192"/>
      <c r="F89" s="192"/>
      <c r="G89" s="192"/>
      <c r="H89" s="193" t="str">
        <f t="shared" si="7"/>
        <v/>
      </c>
      <c r="I89" s="192"/>
      <c r="J89" s="194">
        <f t="shared" si="8"/>
        <v>0</v>
      </c>
      <c r="K89" s="139"/>
      <c r="L89" s="195"/>
      <c r="M89" s="196" t="str">
        <f t="shared" si="76"/>
        <v/>
      </c>
      <c r="N89" s="196"/>
      <c r="O89" s="139"/>
      <c r="P89" s="139"/>
      <c r="Q89" s="177"/>
      <c r="R89" s="141"/>
      <c r="S89" s="177">
        <f t="shared" si="35"/>
        <v>0</v>
      </c>
      <c r="T89" s="160" t="str">
        <f t="shared" si="38"/>
        <v/>
      </c>
      <c r="U89" s="160">
        <f t="shared" si="36"/>
        <v>0</v>
      </c>
      <c r="V89" s="190">
        <f t="shared" si="12"/>
        <v>0</v>
      </c>
      <c r="W89" s="177">
        <f t="shared" ref="W89:X89" si="82">C89/100</f>
        <v>0</v>
      </c>
      <c r="X89" s="177">
        <f t="shared" si="82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66.0</v>
      </c>
      <c r="B90" s="192"/>
      <c r="C90" s="192"/>
      <c r="D90" s="192"/>
      <c r="E90" s="192"/>
      <c r="F90" s="192"/>
      <c r="G90" s="192"/>
      <c r="H90" s="193" t="str">
        <f t="shared" si="7"/>
        <v/>
      </c>
      <c r="I90" s="192"/>
      <c r="J90" s="194">
        <f t="shared" si="8"/>
        <v>0</v>
      </c>
      <c r="K90" s="139"/>
      <c r="L90" s="195"/>
      <c r="M90" s="196" t="str">
        <f t="shared" si="76"/>
        <v/>
      </c>
      <c r="N90" s="196"/>
      <c r="O90" s="139"/>
      <c r="P90" s="139"/>
      <c r="Q90" s="177"/>
      <c r="R90" s="141"/>
      <c r="S90" s="177">
        <f t="shared" si="35"/>
        <v>0</v>
      </c>
      <c r="T90" s="160" t="str">
        <f t="shared" si="38"/>
        <v/>
      </c>
      <c r="U90" s="160">
        <f t="shared" si="36"/>
        <v>0</v>
      </c>
      <c r="V90" s="190">
        <f t="shared" si="12"/>
        <v>0</v>
      </c>
      <c r="W90" s="177">
        <f t="shared" ref="W90:X90" si="83">C90/100</f>
        <v>0</v>
      </c>
      <c r="X90" s="177">
        <f t="shared" si="83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67.0</v>
      </c>
      <c r="B91" s="192"/>
      <c r="C91" s="192"/>
      <c r="D91" s="192"/>
      <c r="E91" s="192"/>
      <c r="F91" s="192"/>
      <c r="G91" s="192"/>
      <c r="H91" s="193" t="str">
        <f t="shared" si="7"/>
        <v/>
      </c>
      <c r="I91" s="192"/>
      <c r="J91" s="194">
        <f t="shared" si="8"/>
        <v>0</v>
      </c>
      <c r="K91" s="139"/>
      <c r="L91" s="195"/>
      <c r="M91" s="196" t="str">
        <f t="shared" si="76"/>
        <v/>
      </c>
      <c r="N91" s="196"/>
      <c r="O91" s="139"/>
      <c r="P91" s="139"/>
      <c r="Q91" s="177"/>
      <c r="R91" s="141"/>
      <c r="S91" s="177">
        <f t="shared" si="35"/>
        <v>0</v>
      </c>
      <c r="T91" s="160" t="str">
        <f t="shared" si="38"/>
        <v/>
      </c>
      <c r="U91" s="160">
        <f t="shared" si="36"/>
        <v>0</v>
      </c>
      <c r="V91" s="190">
        <f t="shared" si="12"/>
        <v>0</v>
      </c>
      <c r="W91" s="177">
        <f t="shared" ref="W91:X91" si="84">C91/100</f>
        <v>0</v>
      </c>
      <c r="X91" s="177">
        <f t="shared" si="84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68.0</v>
      </c>
      <c r="B92" s="192"/>
      <c r="C92" s="192"/>
      <c r="D92" s="192"/>
      <c r="E92" s="192"/>
      <c r="F92" s="192"/>
      <c r="G92" s="192"/>
      <c r="H92" s="193" t="str">
        <f t="shared" si="7"/>
        <v/>
      </c>
      <c r="I92" s="192"/>
      <c r="J92" s="194">
        <f t="shared" si="8"/>
        <v>0</v>
      </c>
      <c r="K92" s="139"/>
      <c r="L92" s="195"/>
      <c r="M92" s="196" t="str">
        <f t="shared" si="76"/>
        <v/>
      </c>
      <c r="N92" s="196"/>
      <c r="O92" s="139"/>
      <c r="P92" s="139"/>
      <c r="Q92" s="177"/>
      <c r="R92" s="141"/>
      <c r="S92" s="177">
        <f t="shared" si="35"/>
        <v>0</v>
      </c>
      <c r="T92" s="160" t="str">
        <f t="shared" si="38"/>
        <v/>
      </c>
      <c r="U92" s="160">
        <f t="shared" si="36"/>
        <v>0</v>
      </c>
      <c r="V92" s="190">
        <f t="shared" si="12"/>
        <v>0</v>
      </c>
      <c r="W92" s="177">
        <f t="shared" ref="W92:X92" si="85">C92/100</f>
        <v>0</v>
      </c>
      <c r="X92" s="177">
        <f t="shared" si="85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69.0</v>
      </c>
      <c r="B93" s="192"/>
      <c r="C93" s="192"/>
      <c r="D93" s="192"/>
      <c r="E93" s="192"/>
      <c r="F93" s="192"/>
      <c r="G93" s="192"/>
      <c r="H93" s="193" t="str">
        <f t="shared" si="7"/>
        <v/>
      </c>
      <c r="I93" s="192"/>
      <c r="J93" s="194">
        <f t="shared" si="8"/>
        <v>0</v>
      </c>
      <c r="K93" s="139"/>
      <c r="L93" s="195"/>
      <c r="M93" s="196" t="str">
        <f t="shared" si="76"/>
        <v/>
      </c>
      <c r="N93" s="196"/>
      <c r="O93" s="139"/>
      <c r="P93" s="139"/>
      <c r="Q93" s="177"/>
      <c r="R93" s="141"/>
      <c r="S93" s="177">
        <f t="shared" si="35"/>
        <v>0</v>
      </c>
      <c r="T93" s="160" t="str">
        <f t="shared" si="38"/>
        <v/>
      </c>
      <c r="U93" s="160">
        <f t="shared" si="36"/>
        <v>0</v>
      </c>
      <c r="V93" s="190">
        <f t="shared" si="12"/>
        <v>0</v>
      </c>
      <c r="W93" s="177">
        <f t="shared" ref="W93:X93" si="86">C93/100</f>
        <v>0</v>
      </c>
      <c r="X93" s="177">
        <f t="shared" si="86"/>
        <v>0</v>
      </c>
      <c r="Y93" s="177">
        <f t="shared" si="14"/>
        <v>0</v>
      </c>
      <c r="Z93" s="19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70.0</v>
      </c>
      <c r="B94" s="192"/>
      <c r="C94" s="192"/>
      <c r="D94" s="192"/>
      <c r="E94" s="192"/>
      <c r="F94" s="192"/>
      <c r="G94" s="192"/>
      <c r="H94" s="193" t="str">
        <f t="shared" si="7"/>
        <v/>
      </c>
      <c r="I94" s="192"/>
      <c r="J94" s="194">
        <f t="shared" si="8"/>
        <v>0</v>
      </c>
      <c r="K94" s="139"/>
      <c r="L94" s="195"/>
      <c r="M94" s="196" t="str">
        <f t="shared" si="76"/>
        <v/>
      </c>
      <c r="N94" s="196"/>
      <c r="O94" s="139"/>
      <c r="P94" s="139"/>
      <c r="Q94" s="177"/>
      <c r="R94" s="141"/>
      <c r="S94" s="177">
        <f t="shared" si="35"/>
        <v>0</v>
      </c>
      <c r="T94" s="160" t="str">
        <f t="shared" si="38"/>
        <v/>
      </c>
      <c r="U94" s="160">
        <f t="shared" si="36"/>
        <v>0</v>
      </c>
      <c r="V94" s="190">
        <f t="shared" si="12"/>
        <v>0</v>
      </c>
      <c r="W94" s="177">
        <f t="shared" ref="W94:X94" si="87">C94/100</f>
        <v>0</v>
      </c>
      <c r="X94" s="177">
        <f t="shared" si="87"/>
        <v>0</v>
      </c>
      <c r="Y94" s="177">
        <f t="shared" si="14"/>
        <v>0</v>
      </c>
      <c r="Z94" s="19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71.0</v>
      </c>
      <c r="B95" s="192"/>
      <c r="C95" s="192"/>
      <c r="D95" s="192"/>
      <c r="E95" s="192"/>
      <c r="F95" s="192"/>
      <c r="G95" s="192"/>
      <c r="H95" s="193" t="str">
        <f t="shared" si="7"/>
        <v/>
      </c>
      <c r="I95" s="192"/>
      <c r="J95" s="194">
        <f t="shared" si="8"/>
        <v>0</v>
      </c>
      <c r="K95" s="139"/>
      <c r="L95" s="195"/>
      <c r="M95" s="196" t="str">
        <f t="shared" si="76"/>
        <v/>
      </c>
      <c r="N95" s="196"/>
      <c r="O95" s="139"/>
      <c r="P95" s="139"/>
      <c r="Q95" s="177"/>
      <c r="R95" s="141"/>
      <c r="S95" s="177">
        <f t="shared" si="35"/>
        <v>0</v>
      </c>
      <c r="T95" s="160" t="str">
        <f t="shared" si="38"/>
        <v/>
      </c>
      <c r="U95" s="160">
        <f t="shared" si="36"/>
        <v>0</v>
      </c>
      <c r="V95" s="190">
        <f t="shared" si="12"/>
        <v>0</v>
      </c>
      <c r="W95" s="177">
        <f t="shared" ref="W95:X95" si="88">C95/100</f>
        <v>0</v>
      </c>
      <c r="X95" s="177">
        <f t="shared" si="88"/>
        <v>0</v>
      </c>
      <c r="Y95" s="177">
        <f t="shared" si="14"/>
        <v>0</v>
      </c>
      <c r="Z95" s="19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72.0</v>
      </c>
      <c r="B96" s="192"/>
      <c r="C96" s="192"/>
      <c r="D96" s="192"/>
      <c r="E96" s="192"/>
      <c r="F96" s="192"/>
      <c r="G96" s="192"/>
      <c r="H96" s="193" t="str">
        <f t="shared" si="7"/>
        <v/>
      </c>
      <c r="I96" s="192"/>
      <c r="J96" s="194">
        <f t="shared" si="8"/>
        <v>0</v>
      </c>
      <c r="K96" s="139"/>
      <c r="L96" s="195"/>
      <c r="M96" s="196" t="str">
        <f t="shared" si="76"/>
        <v/>
      </c>
      <c r="N96" s="196"/>
      <c r="O96" s="139"/>
      <c r="P96" s="139"/>
      <c r="Q96" s="177"/>
      <c r="R96" s="141"/>
      <c r="S96" s="197">
        <f t="shared" si="35"/>
        <v>0</v>
      </c>
      <c r="T96" s="198" t="str">
        <f t="shared" si="38"/>
        <v/>
      </c>
      <c r="U96" s="198">
        <f t="shared" si="36"/>
        <v>0</v>
      </c>
      <c r="V96" s="199">
        <f t="shared" si="12"/>
        <v>0</v>
      </c>
      <c r="W96" s="197">
        <f t="shared" ref="W96:X96" si="89">C96/100</f>
        <v>0</v>
      </c>
      <c r="X96" s="197">
        <f t="shared" si="89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73.0</v>
      </c>
      <c r="B97" s="192"/>
      <c r="C97" s="192"/>
      <c r="D97" s="192"/>
      <c r="E97" s="192"/>
      <c r="F97" s="192"/>
      <c r="G97" s="192"/>
      <c r="H97" s="193" t="str">
        <f t="shared" si="7"/>
        <v/>
      </c>
      <c r="I97" s="192"/>
      <c r="J97" s="194">
        <f t="shared" si="8"/>
        <v>0</v>
      </c>
      <c r="K97" s="139"/>
      <c r="L97" s="195"/>
      <c r="M97" s="196" t="str">
        <f t="shared" si="76"/>
        <v/>
      </c>
      <c r="N97" s="196"/>
      <c r="O97" s="139"/>
      <c r="P97" s="139"/>
      <c r="Q97" s="177"/>
      <c r="R97" s="141"/>
      <c r="S97" s="197">
        <f t="shared" si="35"/>
        <v>0</v>
      </c>
      <c r="T97" s="198" t="str">
        <f t="shared" si="38"/>
        <v/>
      </c>
      <c r="U97" s="198">
        <f t="shared" si="36"/>
        <v>0</v>
      </c>
      <c r="V97" s="199">
        <f t="shared" si="12"/>
        <v>0</v>
      </c>
      <c r="W97" s="197">
        <f t="shared" ref="W97:X97" si="90">C97/100</f>
        <v>0</v>
      </c>
      <c r="X97" s="197">
        <f t="shared" si="90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74.0</v>
      </c>
      <c r="B98" s="192"/>
      <c r="C98" s="192"/>
      <c r="D98" s="192"/>
      <c r="E98" s="192"/>
      <c r="F98" s="192"/>
      <c r="G98" s="192"/>
      <c r="H98" s="193" t="str">
        <f t="shared" si="7"/>
        <v/>
      </c>
      <c r="I98" s="192"/>
      <c r="J98" s="194">
        <f t="shared" si="8"/>
        <v>0</v>
      </c>
      <c r="K98" s="139"/>
      <c r="L98" s="195"/>
      <c r="M98" s="196" t="str">
        <f t="shared" si="76"/>
        <v/>
      </c>
      <c r="N98" s="196"/>
      <c r="O98" s="139"/>
      <c r="P98" s="139"/>
      <c r="Q98" s="177"/>
      <c r="R98" s="141"/>
      <c r="S98" s="197">
        <f t="shared" si="35"/>
        <v>0</v>
      </c>
      <c r="T98" s="198" t="str">
        <f t="shared" si="38"/>
        <v/>
      </c>
      <c r="U98" s="198">
        <f t="shared" si="36"/>
        <v>0</v>
      </c>
      <c r="V98" s="199">
        <f t="shared" si="12"/>
        <v>0</v>
      </c>
      <c r="W98" s="197">
        <f t="shared" ref="W98:X98" si="91">C98/100</f>
        <v>0</v>
      </c>
      <c r="X98" s="197">
        <f t="shared" si="91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75.0</v>
      </c>
      <c r="B99" s="192"/>
      <c r="C99" s="192"/>
      <c r="D99" s="192"/>
      <c r="E99" s="192"/>
      <c r="F99" s="192"/>
      <c r="G99" s="192"/>
      <c r="H99" s="193" t="str">
        <f t="shared" si="7"/>
        <v/>
      </c>
      <c r="I99" s="192"/>
      <c r="J99" s="194">
        <f t="shared" si="8"/>
        <v>0</v>
      </c>
      <c r="K99" s="139"/>
      <c r="L99" s="195"/>
      <c r="M99" s="196" t="str">
        <f t="shared" si="76"/>
        <v/>
      </c>
      <c r="N99" s="196"/>
      <c r="O99" s="139"/>
      <c r="P99" s="139"/>
      <c r="Q99" s="177"/>
      <c r="R99" s="141"/>
      <c r="S99" s="197">
        <f t="shared" si="35"/>
        <v>0</v>
      </c>
      <c r="T99" s="198" t="str">
        <f t="shared" si="38"/>
        <v/>
      </c>
      <c r="U99" s="198">
        <f t="shared" si="36"/>
        <v>0</v>
      </c>
      <c r="V99" s="199">
        <f t="shared" si="12"/>
        <v>0</v>
      </c>
      <c r="W99" s="197">
        <f t="shared" ref="W99:X99" si="92">C99/100</f>
        <v>0</v>
      </c>
      <c r="X99" s="197">
        <f t="shared" si="92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76.0</v>
      </c>
      <c r="B100" s="192"/>
      <c r="C100" s="192"/>
      <c r="D100" s="192"/>
      <c r="E100" s="192"/>
      <c r="F100" s="192"/>
      <c r="G100" s="192"/>
      <c r="H100" s="193" t="str">
        <f t="shared" si="7"/>
        <v/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35"/>
        <v>0</v>
      </c>
      <c r="T100" s="198" t="str">
        <f t="shared" si="38"/>
        <v/>
      </c>
      <c r="U100" s="198">
        <f t="shared" si="36"/>
        <v>0</v>
      </c>
      <c r="V100" s="201"/>
      <c r="W100" s="197">
        <f t="shared" ref="W100:X100" si="93">C100/100</f>
        <v>0</v>
      </c>
      <c r="X100" s="197">
        <f t="shared" si="93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77.0</v>
      </c>
      <c r="B101" s="192"/>
      <c r="C101" s="192"/>
      <c r="D101" s="192"/>
      <c r="E101" s="192"/>
      <c r="F101" s="192"/>
      <c r="G101" s="192"/>
      <c r="H101" s="193" t="str">
        <f t="shared" si="7"/>
        <v/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35"/>
        <v>0</v>
      </c>
      <c r="T101" s="198" t="str">
        <f t="shared" si="38"/>
        <v/>
      </c>
      <c r="U101" s="198">
        <f t="shared" si="36"/>
        <v>0</v>
      </c>
      <c r="V101" s="201"/>
      <c r="W101" s="197">
        <f t="shared" ref="W101:X101" si="94">C101/100</f>
        <v>0</v>
      </c>
      <c r="X101" s="197">
        <f t="shared" si="94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78.0</v>
      </c>
      <c r="B102" s="192"/>
      <c r="C102" s="192"/>
      <c r="D102" s="192"/>
      <c r="E102" s="192"/>
      <c r="F102" s="192"/>
      <c r="G102" s="192"/>
      <c r="H102" s="193" t="str">
        <f t="shared" si="7"/>
        <v/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35"/>
        <v>0</v>
      </c>
      <c r="T102" s="198" t="str">
        <f t="shared" si="38"/>
        <v/>
      </c>
      <c r="U102" s="198">
        <f t="shared" si="36"/>
        <v>0</v>
      </c>
      <c r="V102" s="201"/>
      <c r="W102" s="197">
        <f t="shared" ref="W102:X102" si="95">C102/100</f>
        <v>0</v>
      </c>
      <c r="X102" s="197">
        <f t="shared" si="95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79.0</v>
      </c>
      <c r="B103" s="192"/>
      <c r="C103" s="192"/>
      <c r="D103" s="192"/>
      <c r="E103" s="192"/>
      <c r="F103" s="192"/>
      <c r="G103" s="192"/>
      <c r="H103" s="193" t="str">
        <f t="shared" si="7"/>
        <v/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35"/>
        <v>0</v>
      </c>
      <c r="T103" s="198" t="str">
        <f t="shared" si="38"/>
        <v/>
      </c>
      <c r="U103" s="198">
        <f t="shared" si="36"/>
        <v>0</v>
      </c>
      <c r="V103" s="201"/>
      <c r="W103" s="197">
        <f t="shared" ref="W103:X103" si="96">C103/100</f>
        <v>0</v>
      </c>
      <c r="X103" s="197">
        <f t="shared" si="96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80.0</v>
      </c>
      <c r="B104" s="192"/>
      <c r="C104" s="192"/>
      <c r="D104" s="192"/>
      <c r="E104" s="192"/>
      <c r="F104" s="192"/>
      <c r="G104" s="192"/>
      <c r="H104" s="193" t="str">
        <f t="shared" si="7"/>
        <v/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35"/>
        <v>0</v>
      </c>
      <c r="T104" s="198" t="str">
        <f t="shared" si="38"/>
        <v/>
      </c>
      <c r="U104" s="198">
        <f t="shared" si="36"/>
        <v>0</v>
      </c>
      <c r="V104" s="201"/>
      <c r="W104" s="197">
        <f t="shared" ref="W104:X104" si="97">C104/100</f>
        <v>0</v>
      </c>
      <c r="X104" s="197">
        <f t="shared" si="97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81.0</v>
      </c>
      <c r="B105" s="192"/>
      <c r="C105" s="192"/>
      <c r="D105" s="192"/>
      <c r="E105" s="192"/>
      <c r="F105" s="192"/>
      <c r="G105" s="192"/>
      <c r="H105" s="193" t="str">
        <f t="shared" si="7"/>
        <v/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35"/>
        <v>0</v>
      </c>
      <c r="T105" s="198" t="str">
        <f t="shared" si="38"/>
        <v/>
      </c>
      <c r="U105" s="198">
        <f t="shared" si="36"/>
        <v>0</v>
      </c>
      <c r="V105" s="201"/>
      <c r="W105" s="197">
        <f t="shared" ref="W105:X105" si="98">C105/100</f>
        <v>0</v>
      </c>
      <c r="X105" s="197">
        <f t="shared" si="98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82.0</v>
      </c>
      <c r="B106" s="192"/>
      <c r="C106" s="192"/>
      <c r="D106" s="192"/>
      <c r="E106" s="192"/>
      <c r="F106" s="192"/>
      <c r="G106" s="192"/>
      <c r="H106" s="193" t="str">
        <f t="shared" si="7"/>
        <v/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35"/>
        <v>0</v>
      </c>
      <c r="T106" s="198" t="str">
        <f t="shared" si="38"/>
        <v/>
      </c>
      <c r="U106" s="198">
        <f t="shared" si="36"/>
        <v>0</v>
      </c>
      <c r="V106" s="201"/>
      <c r="W106" s="197">
        <f t="shared" ref="W106:X106" si="99">C106/100</f>
        <v>0</v>
      </c>
      <c r="X106" s="197">
        <f t="shared" si="99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83.0</v>
      </c>
      <c r="B107" s="192"/>
      <c r="C107" s="192"/>
      <c r="D107" s="192"/>
      <c r="E107" s="192"/>
      <c r="F107" s="192"/>
      <c r="G107" s="192"/>
      <c r="H107" s="193" t="str">
        <f t="shared" si="7"/>
        <v/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35"/>
        <v>0</v>
      </c>
      <c r="T107" s="198" t="str">
        <f t="shared" si="38"/>
        <v/>
      </c>
      <c r="U107" s="198">
        <f t="shared" si="36"/>
        <v>0</v>
      </c>
      <c r="V107" s="201"/>
      <c r="W107" s="197">
        <f t="shared" ref="W107:X107" si="100">C107/100</f>
        <v>0</v>
      </c>
      <c r="X107" s="197">
        <f t="shared" si="100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84.0</v>
      </c>
      <c r="B108" s="192"/>
      <c r="C108" s="192"/>
      <c r="D108" s="192"/>
      <c r="E108" s="192"/>
      <c r="F108" s="192"/>
      <c r="G108" s="192"/>
      <c r="H108" s="193" t="str">
        <f t="shared" si="7"/>
        <v/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35"/>
        <v>0</v>
      </c>
      <c r="T108" s="198" t="str">
        <f t="shared" si="38"/>
        <v/>
      </c>
      <c r="U108" s="198">
        <f t="shared" si="36"/>
        <v>0</v>
      </c>
      <c r="V108" s="201"/>
      <c r="W108" s="197">
        <f t="shared" ref="W108:X108" si="101">C108/100</f>
        <v>0</v>
      </c>
      <c r="X108" s="197">
        <f t="shared" si="101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85.0</v>
      </c>
      <c r="B109" s="192"/>
      <c r="C109" s="192"/>
      <c r="D109" s="192"/>
      <c r="E109" s="192"/>
      <c r="F109" s="192"/>
      <c r="G109" s="192"/>
      <c r="H109" s="193" t="str">
        <f t="shared" si="7"/>
        <v/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35"/>
        <v>0</v>
      </c>
      <c r="T109" s="198" t="str">
        <f t="shared" si="38"/>
        <v/>
      </c>
      <c r="U109" s="198">
        <f t="shared" si="36"/>
        <v>0</v>
      </c>
      <c r="V109" s="201"/>
      <c r="W109" s="197">
        <f t="shared" ref="W109:X109" si="102">C109/100</f>
        <v>0</v>
      </c>
      <c r="X109" s="197">
        <f t="shared" si="102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86.0</v>
      </c>
      <c r="B110" s="192"/>
      <c r="C110" s="192"/>
      <c r="D110" s="192"/>
      <c r="E110" s="192"/>
      <c r="F110" s="192"/>
      <c r="G110" s="192"/>
      <c r="H110" s="193" t="str">
        <f t="shared" si="7"/>
        <v/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35"/>
        <v>0</v>
      </c>
      <c r="T110" s="198" t="str">
        <f t="shared" si="38"/>
        <v/>
      </c>
      <c r="U110" s="198">
        <f t="shared" si="36"/>
        <v>0</v>
      </c>
      <c r="V110" s="201"/>
      <c r="W110" s="197">
        <f t="shared" ref="W110:X110" si="103">C110/100</f>
        <v>0</v>
      </c>
      <c r="X110" s="197">
        <f t="shared" si="103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87.0</v>
      </c>
      <c r="B111" s="192"/>
      <c r="C111" s="192"/>
      <c r="D111" s="192"/>
      <c r="E111" s="192"/>
      <c r="F111" s="192"/>
      <c r="G111" s="192"/>
      <c r="H111" s="193" t="str">
        <f t="shared" si="7"/>
        <v/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35"/>
        <v>0</v>
      </c>
      <c r="T111" s="198" t="str">
        <f t="shared" si="38"/>
        <v/>
      </c>
      <c r="U111" s="198">
        <f t="shared" si="36"/>
        <v>0</v>
      </c>
      <c r="V111" s="201"/>
      <c r="W111" s="197">
        <f t="shared" ref="W111:X111" si="104">C111/100</f>
        <v>0</v>
      </c>
      <c r="X111" s="197">
        <f t="shared" si="104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88.0</v>
      </c>
      <c r="B112" s="192"/>
      <c r="C112" s="192"/>
      <c r="D112" s="192"/>
      <c r="E112" s="192"/>
      <c r="F112" s="192"/>
      <c r="G112" s="192"/>
      <c r="H112" s="193" t="str">
        <f t="shared" si="7"/>
        <v/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35"/>
        <v>0</v>
      </c>
      <c r="T112" s="198" t="str">
        <f t="shared" si="38"/>
        <v/>
      </c>
      <c r="U112" s="198">
        <f t="shared" si="36"/>
        <v>0</v>
      </c>
      <c r="V112" s="201"/>
      <c r="W112" s="197">
        <f t="shared" ref="W112:X112" si="105">C112/100</f>
        <v>0</v>
      </c>
      <c r="X112" s="197">
        <f t="shared" si="105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89.0</v>
      </c>
      <c r="B113" s="192"/>
      <c r="C113" s="192"/>
      <c r="D113" s="192"/>
      <c r="E113" s="192"/>
      <c r="F113" s="192"/>
      <c r="G113" s="192"/>
      <c r="H113" s="193" t="str">
        <f t="shared" si="7"/>
        <v/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35"/>
        <v>0</v>
      </c>
      <c r="T113" s="198" t="str">
        <f t="shared" si="38"/>
        <v/>
      </c>
      <c r="U113" s="198">
        <f t="shared" si="36"/>
        <v>0</v>
      </c>
      <c r="V113" s="201"/>
      <c r="W113" s="197">
        <f t="shared" ref="W113:X113" si="106">C113/100</f>
        <v>0</v>
      </c>
      <c r="X113" s="197">
        <f t="shared" si="106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90.0</v>
      </c>
      <c r="B114" s="192"/>
      <c r="C114" s="192"/>
      <c r="D114" s="192"/>
      <c r="E114" s="192"/>
      <c r="F114" s="192"/>
      <c r="G114" s="192"/>
      <c r="H114" s="193" t="str">
        <f t="shared" si="7"/>
        <v/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35"/>
        <v>0</v>
      </c>
      <c r="T114" s="198" t="str">
        <f t="shared" si="38"/>
        <v/>
      </c>
      <c r="U114" s="198">
        <f t="shared" si="36"/>
        <v>0</v>
      </c>
      <c r="V114" s="201"/>
      <c r="W114" s="197">
        <f t="shared" ref="W114:X114" si="107">C114/100</f>
        <v>0</v>
      </c>
      <c r="X114" s="197">
        <f t="shared" si="107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91.0</v>
      </c>
      <c r="B115" s="192"/>
      <c r="C115" s="192"/>
      <c r="D115" s="192"/>
      <c r="E115" s="192"/>
      <c r="F115" s="192"/>
      <c r="G115" s="192"/>
      <c r="H115" s="193" t="str">
        <f t="shared" si="7"/>
        <v/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35"/>
        <v>0</v>
      </c>
      <c r="T115" s="198" t="str">
        <f t="shared" si="38"/>
        <v/>
      </c>
      <c r="U115" s="198">
        <f t="shared" si="36"/>
        <v>0</v>
      </c>
      <c r="V115" s="201"/>
      <c r="W115" s="197">
        <f t="shared" ref="W115:X115" si="108">C115/100</f>
        <v>0</v>
      </c>
      <c r="X115" s="197">
        <f t="shared" si="108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92.0</v>
      </c>
      <c r="B116" s="192"/>
      <c r="C116" s="192"/>
      <c r="D116" s="192"/>
      <c r="E116" s="192"/>
      <c r="F116" s="192"/>
      <c r="G116" s="192"/>
      <c r="H116" s="193" t="str">
        <f t="shared" si="7"/>
        <v/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35"/>
        <v>0</v>
      </c>
      <c r="T116" s="198" t="str">
        <f t="shared" si="38"/>
        <v/>
      </c>
      <c r="U116" s="198">
        <f t="shared" si="36"/>
        <v>0</v>
      </c>
      <c r="V116" s="201"/>
      <c r="W116" s="197">
        <f t="shared" ref="W116:X116" si="109">C116/100</f>
        <v>0</v>
      </c>
      <c r="X116" s="197">
        <f t="shared" si="109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93.0</v>
      </c>
      <c r="B117" s="192"/>
      <c r="C117" s="192"/>
      <c r="D117" s="192"/>
      <c r="E117" s="192"/>
      <c r="F117" s="192"/>
      <c r="G117" s="192"/>
      <c r="H117" s="193" t="str">
        <f t="shared" si="7"/>
        <v/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35"/>
        <v>0</v>
      </c>
      <c r="T117" s="198" t="str">
        <f t="shared" si="38"/>
        <v/>
      </c>
      <c r="U117" s="198">
        <f t="shared" si="36"/>
        <v>0</v>
      </c>
      <c r="V117" s="201"/>
      <c r="W117" s="197">
        <f t="shared" ref="W117:X117" si="110">C117/100</f>
        <v>0</v>
      </c>
      <c r="X117" s="197">
        <f t="shared" si="110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94.0</v>
      </c>
      <c r="B118" s="192"/>
      <c r="C118" s="192"/>
      <c r="D118" s="192"/>
      <c r="E118" s="192"/>
      <c r="F118" s="192"/>
      <c r="G118" s="192"/>
      <c r="H118" s="193" t="str">
        <f t="shared" si="7"/>
        <v/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35"/>
        <v>0</v>
      </c>
      <c r="T118" s="198" t="str">
        <f t="shared" si="38"/>
        <v/>
      </c>
      <c r="U118" s="198">
        <f t="shared" si="36"/>
        <v>0</v>
      </c>
      <c r="V118" s="201"/>
      <c r="W118" s="197">
        <f t="shared" ref="W118:X118" si="111">C118/100</f>
        <v>0</v>
      </c>
      <c r="X118" s="197">
        <f t="shared" si="111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95.0</v>
      </c>
      <c r="B119" s="192"/>
      <c r="C119" s="192"/>
      <c r="D119" s="192"/>
      <c r="E119" s="192"/>
      <c r="F119" s="192"/>
      <c r="G119" s="192"/>
      <c r="H119" s="193" t="str">
        <f t="shared" si="7"/>
        <v/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35"/>
        <v>0</v>
      </c>
      <c r="T119" s="198" t="str">
        <f t="shared" si="38"/>
        <v/>
      </c>
      <c r="U119" s="198">
        <f t="shared" si="36"/>
        <v>0</v>
      </c>
      <c r="V119" s="201"/>
      <c r="W119" s="197">
        <f t="shared" ref="W119:X119" si="112">C119/100</f>
        <v>0</v>
      </c>
      <c r="X119" s="197">
        <f t="shared" si="112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96.0</v>
      </c>
      <c r="B120" s="192"/>
      <c r="C120" s="192"/>
      <c r="D120" s="192"/>
      <c r="E120" s="192"/>
      <c r="F120" s="192"/>
      <c r="G120" s="192"/>
      <c r="H120" s="193" t="str">
        <f t="shared" si="7"/>
        <v/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35"/>
        <v>0</v>
      </c>
      <c r="T120" s="198" t="str">
        <f t="shared" si="38"/>
        <v/>
      </c>
      <c r="U120" s="198">
        <f t="shared" si="36"/>
        <v>0</v>
      </c>
      <c r="V120" s="201"/>
      <c r="W120" s="197">
        <f t="shared" ref="W120:X120" si="113">C120/100</f>
        <v>0</v>
      </c>
      <c r="X120" s="197">
        <f t="shared" si="113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97.0</v>
      </c>
      <c r="B121" s="192"/>
      <c r="C121" s="192"/>
      <c r="D121" s="192"/>
      <c r="E121" s="192"/>
      <c r="F121" s="192"/>
      <c r="G121" s="192"/>
      <c r="H121" s="193" t="str">
        <f t="shared" si="7"/>
        <v/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35"/>
        <v>0</v>
      </c>
      <c r="T121" s="198" t="str">
        <f t="shared" si="38"/>
        <v/>
      </c>
      <c r="U121" s="198">
        <f t="shared" si="36"/>
        <v>0</v>
      </c>
      <c r="V121" s="201"/>
      <c r="W121" s="197">
        <f t="shared" ref="W121:X121" si="114">C121/100</f>
        <v>0</v>
      </c>
      <c r="X121" s="197">
        <f t="shared" si="114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98.0</v>
      </c>
      <c r="B122" s="192"/>
      <c r="C122" s="192"/>
      <c r="D122" s="192"/>
      <c r="E122" s="192"/>
      <c r="F122" s="192"/>
      <c r="G122" s="192"/>
      <c r="H122" s="193" t="str">
        <f t="shared" si="7"/>
        <v/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35"/>
        <v>0</v>
      </c>
      <c r="T122" s="198" t="str">
        <f t="shared" si="38"/>
        <v/>
      </c>
      <c r="U122" s="198">
        <f t="shared" si="36"/>
        <v>0</v>
      </c>
      <c r="V122" s="201"/>
      <c r="W122" s="197">
        <f t="shared" ref="W122:X122" si="115">C122/100</f>
        <v>0</v>
      </c>
      <c r="X122" s="197">
        <f t="shared" si="115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99.0</v>
      </c>
      <c r="B123" s="192"/>
      <c r="C123" s="192"/>
      <c r="D123" s="192"/>
      <c r="E123" s="192"/>
      <c r="F123" s="192"/>
      <c r="G123" s="192"/>
      <c r="H123" s="193" t="str">
        <f t="shared" si="7"/>
        <v/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35"/>
        <v>0</v>
      </c>
      <c r="T123" s="198" t="str">
        <f t="shared" si="38"/>
        <v/>
      </c>
      <c r="U123" s="198">
        <f t="shared" si="36"/>
        <v>0</v>
      </c>
      <c r="V123" s="201"/>
      <c r="W123" s="197">
        <f t="shared" ref="W123:X123" si="116">C123/100</f>
        <v>0</v>
      </c>
      <c r="X123" s="197">
        <f t="shared" si="116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100.0</v>
      </c>
      <c r="B124" s="192"/>
      <c r="C124" s="192"/>
      <c r="D124" s="192"/>
      <c r="E124" s="192"/>
      <c r="F124" s="192"/>
      <c r="G124" s="192"/>
      <c r="H124" s="193" t="str">
        <f t="shared" si="7"/>
        <v/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35"/>
        <v>0</v>
      </c>
      <c r="T124" s="198" t="str">
        <f t="shared" si="38"/>
        <v/>
      </c>
      <c r="U124" s="198">
        <f t="shared" si="36"/>
        <v>0</v>
      </c>
      <c r="V124" s="201"/>
      <c r="W124" s="197">
        <f t="shared" ref="W124:X124" si="117">C124/100</f>
        <v>0</v>
      </c>
      <c r="X124" s="197">
        <f t="shared" si="117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101.0</v>
      </c>
      <c r="B125" s="192"/>
      <c r="C125" s="192"/>
      <c r="D125" s="192"/>
      <c r="E125" s="192"/>
      <c r="F125" s="192"/>
      <c r="G125" s="192"/>
      <c r="H125" s="193" t="str">
        <f t="shared" si="7"/>
        <v/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35"/>
        <v>0</v>
      </c>
      <c r="T125" s="198" t="str">
        <f t="shared" si="38"/>
        <v/>
      </c>
      <c r="U125" s="198">
        <f t="shared" si="36"/>
        <v>0</v>
      </c>
      <c r="V125" s="201"/>
      <c r="W125" s="197">
        <f t="shared" ref="W125:X125" si="118">C125/100</f>
        <v>0</v>
      </c>
      <c r="X125" s="197">
        <f t="shared" si="118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102.0</v>
      </c>
      <c r="B126" s="192"/>
      <c r="C126" s="192"/>
      <c r="D126" s="192"/>
      <c r="E126" s="192"/>
      <c r="F126" s="192"/>
      <c r="G126" s="192"/>
      <c r="H126" s="193" t="str">
        <f t="shared" si="7"/>
        <v/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35"/>
        <v>0</v>
      </c>
      <c r="T126" s="198" t="str">
        <f t="shared" si="38"/>
        <v/>
      </c>
      <c r="U126" s="198">
        <f t="shared" si="36"/>
        <v>0</v>
      </c>
      <c r="V126" s="201"/>
      <c r="W126" s="197">
        <f t="shared" ref="W126:X126" si="119">C126/100</f>
        <v>0</v>
      </c>
      <c r="X126" s="197">
        <f t="shared" si="119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103.0</v>
      </c>
      <c r="B127" s="192"/>
      <c r="C127" s="192"/>
      <c r="D127" s="192"/>
      <c r="E127" s="192"/>
      <c r="F127" s="192"/>
      <c r="G127" s="192"/>
      <c r="H127" s="193" t="str">
        <f t="shared" si="7"/>
        <v/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35"/>
        <v>0</v>
      </c>
      <c r="T127" s="198" t="str">
        <f t="shared" si="38"/>
        <v/>
      </c>
      <c r="U127" s="198">
        <f t="shared" si="36"/>
        <v>0</v>
      </c>
      <c r="V127" s="201"/>
      <c r="W127" s="197">
        <f t="shared" ref="W127:X127" si="120">C127/100</f>
        <v>0</v>
      </c>
      <c r="X127" s="197">
        <f t="shared" si="120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104.0</v>
      </c>
      <c r="B128" s="192"/>
      <c r="C128" s="192"/>
      <c r="D128" s="192"/>
      <c r="E128" s="192"/>
      <c r="F128" s="192"/>
      <c r="G128" s="192"/>
      <c r="H128" s="193" t="str">
        <f t="shared" si="7"/>
        <v/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35"/>
        <v>0</v>
      </c>
      <c r="T128" s="198" t="str">
        <f t="shared" si="38"/>
        <v/>
      </c>
      <c r="U128" s="198">
        <f t="shared" si="36"/>
        <v>0</v>
      </c>
      <c r="V128" s="201"/>
      <c r="W128" s="197">
        <f t="shared" ref="W128:X128" si="121">C128/100</f>
        <v>0</v>
      </c>
      <c r="X128" s="197">
        <f t="shared" si="121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105.0</v>
      </c>
      <c r="B129" s="192"/>
      <c r="C129" s="192"/>
      <c r="D129" s="192"/>
      <c r="E129" s="192"/>
      <c r="F129" s="192"/>
      <c r="G129" s="192"/>
      <c r="H129" s="193" t="str">
        <f t="shared" si="7"/>
        <v/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35"/>
        <v>0</v>
      </c>
      <c r="T129" s="198" t="str">
        <f t="shared" si="38"/>
        <v/>
      </c>
      <c r="U129" s="198">
        <f t="shared" si="36"/>
        <v>0</v>
      </c>
      <c r="V129" s="201"/>
      <c r="W129" s="197">
        <f t="shared" ref="W129:X129" si="122">C129/100</f>
        <v>0</v>
      </c>
      <c r="X129" s="197">
        <f t="shared" si="122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106.0</v>
      </c>
      <c r="B130" s="192"/>
      <c r="C130" s="192"/>
      <c r="D130" s="192"/>
      <c r="E130" s="192"/>
      <c r="F130" s="192"/>
      <c r="G130" s="192"/>
      <c r="H130" s="193" t="str">
        <f t="shared" si="7"/>
        <v/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35"/>
        <v>0</v>
      </c>
      <c r="T130" s="198" t="str">
        <f t="shared" si="38"/>
        <v/>
      </c>
      <c r="U130" s="198">
        <f t="shared" si="36"/>
        <v>0</v>
      </c>
      <c r="V130" s="201"/>
      <c r="W130" s="197">
        <f t="shared" ref="W130:X130" si="123">C130/100</f>
        <v>0</v>
      </c>
      <c r="X130" s="197">
        <f t="shared" si="123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107.0</v>
      </c>
      <c r="B131" s="192"/>
      <c r="C131" s="192"/>
      <c r="D131" s="192"/>
      <c r="E131" s="192"/>
      <c r="F131" s="192"/>
      <c r="G131" s="192"/>
      <c r="H131" s="193" t="str">
        <f t="shared" si="7"/>
        <v/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35"/>
        <v>0</v>
      </c>
      <c r="T131" s="198" t="str">
        <f t="shared" si="38"/>
        <v/>
      </c>
      <c r="U131" s="198">
        <f t="shared" si="36"/>
        <v>0</v>
      </c>
      <c r="V131" s="201"/>
      <c r="W131" s="197">
        <f t="shared" ref="W131:X131" si="124">C131/100</f>
        <v>0</v>
      </c>
      <c r="X131" s="197">
        <f t="shared" si="124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108.0</v>
      </c>
      <c r="B132" s="192"/>
      <c r="C132" s="192"/>
      <c r="D132" s="192"/>
      <c r="E132" s="192"/>
      <c r="F132" s="192"/>
      <c r="G132" s="192"/>
      <c r="H132" s="193" t="str">
        <f t="shared" si="7"/>
        <v/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35"/>
        <v>0</v>
      </c>
      <c r="T132" s="198" t="str">
        <f t="shared" si="38"/>
        <v/>
      </c>
      <c r="U132" s="198">
        <f t="shared" si="36"/>
        <v>0</v>
      </c>
      <c r="V132" s="201"/>
      <c r="W132" s="197">
        <f t="shared" ref="W132:X132" si="125">C132/100</f>
        <v>0</v>
      </c>
      <c r="X132" s="197">
        <f t="shared" si="125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109.0</v>
      </c>
      <c r="B133" s="192"/>
      <c r="C133" s="192"/>
      <c r="D133" s="192"/>
      <c r="E133" s="192"/>
      <c r="F133" s="192"/>
      <c r="G133" s="192"/>
      <c r="H133" s="193" t="str">
        <f t="shared" si="7"/>
        <v/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35"/>
        <v>0</v>
      </c>
      <c r="T133" s="198" t="str">
        <f t="shared" si="38"/>
        <v/>
      </c>
      <c r="U133" s="198">
        <f t="shared" si="36"/>
        <v>0</v>
      </c>
      <c r="V133" s="201"/>
      <c r="W133" s="197">
        <f t="shared" ref="W133:X133" si="126">C133/100</f>
        <v>0</v>
      </c>
      <c r="X133" s="197">
        <f t="shared" si="126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110.0</v>
      </c>
      <c r="B134" s="192"/>
      <c r="C134" s="192"/>
      <c r="D134" s="192"/>
      <c r="E134" s="192"/>
      <c r="F134" s="192"/>
      <c r="G134" s="192"/>
      <c r="H134" s="193" t="str">
        <f t="shared" si="7"/>
        <v/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35"/>
        <v>0</v>
      </c>
      <c r="T134" s="198" t="str">
        <f t="shared" si="38"/>
        <v/>
      </c>
      <c r="U134" s="198">
        <f t="shared" si="36"/>
        <v>0</v>
      </c>
      <c r="V134" s="201"/>
      <c r="W134" s="197">
        <f t="shared" ref="W134:X134" si="127">C134/100</f>
        <v>0</v>
      </c>
      <c r="X134" s="197">
        <f t="shared" si="127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111.0</v>
      </c>
      <c r="B135" s="192"/>
      <c r="C135" s="192"/>
      <c r="D135" s="192"/>
      <c r="E135" s="192"/>
      <c r="F135" s="192"/>
      <c r="G135" s="192"/>
      <c r="H135" s="193" t="str">
        <f t="shared" si="7"/>
        <v/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35"/>
        <v>0</v>
      </c>
      <c r="T135" s="198" t="str">
        <f t="shared" si="38"/>
        <v/>
      </c>
      <c r="U135" s="198">
        <f t="shared" si="36"/>
        <v>0</v>
      </c>
      <c r="V135" s="201"/>
      <c r="W135" s="197">
        <f t="shared" ref="W135:X135" si="128">C135/100</f>
        <v>0</v>
      </c>
      <c r="X135" s="197">
        <f t="shared" si="128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112.0</v>
      </c>
      <c r="B136" s="192"/>
      <c r="C136" s="192"/>
      <c r="D136" s="192"/>
      <c r="E136" s="192"/>
      <c r="F136" s="192"/>
      <c r="G136" s="192"/>
      <c r="H136" s="193" t="str">
        <f t="shared" si="7"/>
        <v/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35"/>
        <v>0</v>
      </c>
      <c r="T136" s="198" t="str">
        <f t="shared" si="38"/>
        <v/>
      </c>
      <c r="U136" s="198">
        <f t="shared" si="36"/>
        <v>0</v>
      </c>
      <c r="V136" s="201"/>
      <c r="W136" s="197">
        <f t="shared" ref="W136:X136" si="129">C136/100</f>
        <v>0</v>
      </c>
      <c r="X136" s="197">
        <f t="shared" si="129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113.0</v>
      </c>
      <c r="B137" s="192"/>
      <c r="C137" s="192"/>
      <c r="D137" s="192"/>
      <c r="E137" s="192"/>
      <c r="F137" s="192"/>
      <c r="G137" s="192"/>
      <c r="H137" s="193" t="str">
        <f t="shared" si="7"/>
        <v/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35"/>
        <v>0</v>
      </c>
      <c r="T137" s="198" t="str">
        <f t="shared" si="38"/>
        <v/>
      </c>
      <c r="U137" s="198">
        <f t="shared" si="36"/>
        <v>0</v>
      </c>
      <c r="V137" s="201"/>
      <c r="W137" s="197">
        <f t="shared" ref="W137:X137" si="130">C137/100</f>
        <v>0</v>
      </c>
      <c r="X137" s="197">
        <f t="shared" si="130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114.0</v>
      </c>
      <c r="B138" s="192"/>
      <c r="C138" s="192"/>
      <c r="D138" s="192"/>
      <c r="E138" s="192"/>
      <c r="F138" s="192"/>
      <c r="G138" s="192"/>
      <c r="H138" s="193" t="str">
        <f t="shared" si="7"/>
        <v/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35"/>
        <v>0</v>
      </c>
      <c r="T138" s="198" t="str">
        <f t="shared" si="38"/>
        <v/>
      </c>
      <c r="U138" s="198">
        <f t="shared" si="36"/>
        <v>0</v>
      </c>
      <c r="V138" s="201"/>
      <c r="W138" s="197">
        <f t="shared" ref="W138:X138" si="131">C138/100</f>
        <v>0</v>
      </c>
      <c r="X138" s="197">
        <f t="shared" si="131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115.0</v>
      </c>
      <c r="B139" s="192"/>
      <c r="C139" s="192"/>
      <c r="D139" s="192"/>
      <c r="E139" s="192"/>
      <c r="F139" s="192"/>
      <c r="G139" s="192"/>
      <c r="H139" s="193" t="str">
        <f t="shared" si="7"/>
        <v/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35"/>
        <v>0</v>
      </c>
      <c r="T139" s="198" t="str">
        <f t="shared" si="38"/>
        <v/>
      </c>
      <c r="U139" s="198">
        <f t="shared" si="36"/>
        <v>0</v>
      </c>
      <c r="V139" s="201"/>
      <c r="W139" s="197">
        <f t="shared" ref="W139:X139" si="132">C139/100</f>
        <v>0</v>
      </c>
      <c r="X139" s="197">
        <f t="shared" si="132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116.0</v>
      </c>
      <c r="B140" s="192"/>
      <c r="C140" s="192"/>
      <c r="D140" s="192"/>
      <c r="E140" s="192"/>
      <c r="F140" s="192"/>
      <c r="G140" s="192"/>
      <c r="H140" s="193" t="str">
        <f t="shared" si="7"/>
        <v/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35"/>
        <v>0</v>
      </c>
      <c r="T140" s="198" t="str">
        <f t="shared" si="38"/>
        <v/>
      </c>
      <c r="U140" s="198">
        <f t="shared" si="36"/>
        <v>0</v>
      </c>
      <c r="V140" s="201"/>
      <c r="W140" s="197">
        <f t="shared" ref="W140:X140" si="133">C140/100</f>
        <v>0</v>
      </c>
      <c r="X140" s="197">
        <f t="shared" si="133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117.0</v>
      </c>
      <c r="B141" s="192"/>
      <c r="C141" s="192"/>
      <c r="D141" s="192"/>
      <c r="E141" s="192"/>
      <c r="F141" s="192"/>
      <c r="G141" s="192"/>
      <c r="H141" s="193" t="str">
        <f t="shared" si="7"/>
        <v/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35"/>
        <v>0</v>
      </c>
      <c r="T141" s="198" t="str">
        <f t="shared" si="38"/>
        <v/>
      </c>
      <c r="U141" s="198">
        <f t="shared" si="36"/>
        <v>0</v>
      </c>
      <c r="V141" s="201"/>
      <c r="W141" s="197">
        <f t="shared" ref="W141:X141" si="134">C141/100</f>
        <v>0</v>
      </c>
      <c r="X141" s="197">
        <f t="shared" si="134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118.0</v>
      </c>
      <c r="B142" s="192"/>
      <c r="C142" s="192"/>
      <c r="D142" s="192"/>
      <c r="E142" s="192"/>
      <c r="F142" s="192"/>
      <c r="G142" s="192"/>
      <c r="H142" s="193" t="str">
        <f t="shared" si="7"/>
        <v/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35"/>
        <v>0</v>
      </c>
      <c r="T142" s="198" t="str">
        <f t="shared" si="38"/>
        <v/>
      </c>
      <c r="U142" s="198">
        <f t="shared" si="36"/>
        <v>0</v>
      </c>
      <c r="V142" s="201"/>
      <c r="W142" s="197">
        <f t="shared" ref="W142:X142" si="135">C142/100</f>
        <v>0</v>
      </c>
      <c r="X142" s="197">
        <f t="shared" si="135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119.0</v>
      </c>
      <c r="B143" s="192"/>
      <c r="C143" s="192"/>
      <c r="D143" s="192"/>
      <c r="E143" s="192"/>
      <c r="F143" s="192"/>
      <c r="G143" s="192"/>
      <c r="H143" s="193" t="str">
        <f t="shared" si="7"/>
        <v/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35"/>
        <v>0</v>
      </c>
      <c r="T143" s="198" t="str">
        <f t="shared" si="38"/>
        <v/>
      </c>
      <c r="U143" s="198">
        <f t="shared" si="36"/>
        <v>0</v>
      </c>
      <c r="V143" s="201"/>
      <c r="W143" s="197">
        <f t="shared" ref="W143:X143" si="136">C143/100</f>
        <v>0</v>
      </c>
      <c r="X143" s="197">
        <f t="shared" si="136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120.0</v>
      </c>
      <c r="B144" s="192"/>
      <c r="C144" s="192"/>
      <c r="D144" s="192"/>
      <c r="E144" s="192"/>
      <c r="F144" s="192"/>
      <c r="G144" s="192"/>
      <c r="H144" s="193" t="str">
        <f t="shared" si="7"/>
        <v/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35"/>
        <v>0</v>
      </c>
      <c r="T144" s="198" t="str">
        <f t="shared" si="38"/>
        <v/>
      </c>
      <c r="U144" s="198">
        <f t="shared" si="36"/>
        <v>0</v>
      </c>
      <c r="V144" s="201"/>
      <c r="W144" s="197">
        <f t="shared" ref="W144:X144" si="137">C144/100</f>
        <v>0</v>
      </c>
      <c r="X144" s="197">
        <f t="shared" si="137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121.0</v>
      </c>
      <c r="B145" s="192"/>
      <c r="C145" s="192"/>
      <c r="D145" s="192"/>
      <c r="E145" s="192"/>
      <c r="F145" s="192"/>
      <c r="G145" s="192"/>
      <c r="H145" s="193" t="str">
        <f t="shared" si="7"/>
        <v/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35"/>
        <v>0</v>
      </c>
      <c r="T145" s="198" t="str">
        <f t="shared" si="38"/>
        <v/>
      </c>
      <c r="U145" s="198">
        <f t="shared" si="36"/>
        <v>0</v>
      </c>
      <c r="V145" s="201"/>
      <c r="W145" s="197">
        <f t="shared" ref="W145:X145" si="138">C145/100</f>
        <v>0</v>
      </c>
      <c r="X145" s="197">
        <f t="shared" si="138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122.0</v>
      </c>
      <c r="B146" s="192"/>
      <c r="C146" s="192"/>
      <c r="D146" s="192"/>
      <c r="E146" s="192"/>
      <c r="F146" s="192"/>
      <c r="G146" s="192"/>
      <c r="H146" s="193" t="str">
        <f t="shared" si="7"/>
        <v/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35"/>
        <v>0</v>
      </c>
      <c r="T146" s="198" t="str">
        <f t="shared" si="38"/>
        <v/>
      </c>
      <c r="U146" s="198">
        <f t="shared" si="36"/>
        <v>0</v>
      </c>
      <c r="V146" s="201"/>
      <c r="W146" s="197">
        <f t="shared" ref="W146:X146" si="139">C146/100</f>
        <v>0</v>
      </c>
      <c r="X146" s="197">
        <f t="shared" si="139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123.0</v>
      </c>
      <c r="B147" s="192"/>
      <c r="C147" s="192"/>
      <c r="D147" s="192"/>
      <c r="E147" s="192"/>
      <c r="F147" s="192"/>
      <c r="G147" s="192"/>
      <c r="H147" s="193" t="str">
        <f t="shared" si="7"/>
        <v/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35"/>
        <v>0</v>
      </c>
      <c r="T147" s="198" t="str">
        <f t="shared" si="38"/>
        <v/>
      </c>
      <c r="U147" s="198">
        <f t="shared" si="36"/>
        <v>0</v>
      </c>
      <c r="V147" s="201"/>
      <c r="W147" s="197">
        <f t="shared" ref="W147:X147" si="140">C147/100</f>
        <v>0</v>
      </c>
      <c r="X147" s="197">
        <f t="shared" si="140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124.0</v>
      </c>
      <c r="B148" s="192"/>
      <c r="C148" s="192"/>
      <c r="D148" s="192"/>
      <c r="E148" s="192"/>
      <c r="F148" s="192"/>
      <c r="G148" s="192"/>
      <c r="H148" s="193" t="str">
        <f t="shared" si="7"/>
        <v/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35"/>
        <v>0</v>
      </c>
      <c r="T148" s="198" t="str">
        <f t="shared" si="38"/>
        <v/>
      </c>
      <c r="U148" s="198">
        <f t="shared" si="36"/>
        <v>0</v>
      </c>
      <c r="V148" s="201"/>
      <c r="W148" s="197">
        <f t="shared" ref="W148:X148" si="141">C148/100</f>
        <v>0</v>
      </c>
      <c r="X148" s="197">
        <f t="shared" si="141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125.0</v>
      </c>
      <c r="B149" s="192"/>
      <c r="C149" s="192"/>
      <c r="D149" s="192"/>
      <c r="E149" s="192"/>
      <c r="F149" s="192"/>
      <c r="G149" s="192"/>
      <c r="H149" s="193" t="str">
        <f t="shared" si="7"/>
        <v/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35"/>
        <v>0</v>
      </c>
      <c r="T149" s="198" t="str">
        <f t="shared" si="38"/>
        <v/>
      </c>
      <c r="U149" s="198">
        <f t="shared" si="36"/>
        <v>0</v>
      </c>
      <c r="V149" s="201"/>
      <c r="W149" s="197">
        <f t="shared" ref="W149:X149" si="142">C149/100</f>
        <v>0</v>
      </c>
      <c r="X149" s="197">
        <f t="shared" si="142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126.0</v>
      </c>
      <c r="B150" s="192"/>
      <c r="C150" s="192"/>
      <c r="D150" s="192"/>
      <c r="E150" s="192"/>
      <c r="F150" s="192"/>
      <c r="G150" s="192"/>
      <c r="H150" s="193" t="str">
        <f t="shared" si="7"/>
        <v/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35"/>
        <v>0</v>
      </c>
      <c r="T150" s="198" t="str">
        <f t="shared" si="38"/>
        <v/>
      </c>
      <c r="U150" s="198">
        <f t="shared" si="36"/>
        <v>0</v>
      </c>
      <c r="V150" s="201"/>
      <c r="W150" s="197">
        <f t="shared" ref="W150:X150" si="143">C150/100</f>
        <v>0</v>
      </c>
      <c r="X150" s="197">
        <f t="shared" si="143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127.0</v>
      </c>
      <c r="B151" s="192"/>
      <c r="C151" s="192"/>
      <c r="D151" s="192"/>
      <c r="E151" s="192"/>
      <c r="F151" s="192"/>
      <c r="G151" s="192"/>
      <c r="H151" s="193" t="str">
        <f t="shared" si="7"/>
        <v/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35"/>
        <v>0</v>
      </c>
      <c r="T151" s="198" t="str">
        <f t="shared" si="38"/>
        <v/>
      </c>
      <c r="U151" s="198">
        <f t="shared" si="36"/>
        <v>0</v>
      </c>
      <c r="V151" s="201"/>
      <c r="W151" s="197">
        <f t="shared" ref="W151:X151" si="144">C151/100</f>
        <v>0</v>
      </c>
      <c r="X151" s="197">
        <f t="shared" si="144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128.0</v>
      </c>
      <c r="B152" s="192"/>
      <c r="C152" s="192"/>
      <c r="D152" s="192"/>
      <c r="E152" s="192"/>
      <c r="F152" s="192"/>
      <c r="G152" s="192"/>
      <c r="H152" s="193" t="str">
        <f t="shared" si="7"/>
        <v/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35"/>
        <v>0</v>
      </c>
      <c r="T152" s="198" t="str">
        <f t="shared" si="38"/>
        <v/>
      </c>
      <c r="U152" s="198">
        <f t="shared" si="36"/>
        <v>0</v>
      </c>
      <c r="V152" s="201"/>
      <c r="W152" s="197">
        <f t="shared" ref="W152:X152" si="145">C152/100</f>
        <v>0</v>
      </c>
      <c r="X152" s="197">
        <f t="shared" si="145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129.0</v>
      </c>
      <c r="B153" s="192"/>
      <c r="C153" s="192"/>
      <c r="D153" s="192"/>
      <c r="E153" s="192"/>
      <c r="F153" s="192"/>
      <c r="G153" s="192"/>
      <c r="H153" s="193" t="str">
        <f t="shared" si="7"/>
        <v/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35"/>
        <v>0</v>
      </c>
      <c r="T153" s="198" t="str">
        <f t="shared" si="38"/>
        <v/>
      </c>
      <c r="U153" s="198">
        <f t="shared" si="36"/>
        <v>0</v>
      </c>
      <c r="V153" s="201"/>
      <c r="W153" s="197">
        <f t="shared" ref="W153:X153" si="146">C153/100</f>
        <v>0</v>
      </c>
      <c r="X153" s="197">
        <f t="shared" si="146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130.0</v>
      </c>
      <c r="B154" s="192"/>
      <c r="C154" s="192"/>
      <c r="D154" s="192"/>
      <c r="E154" s="192"/>
      <c r="F154" s="192"/>
      <c r="G154" s="192"/>
      <c r="H154" s="193" t="str">
        <f t="shared" si="7"/>
        <v/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35"/>
        <v>0</v>
      </c>
      <c r="T154" s="198" t="str">
        <f t="shared" si="38"/>
        <v/>
      </c>
      <c r="U154" s="198">
        <f t="shared" si="36"/>
        <v>0</v>
      </c>
      <c r="V154" s="201"/>
      <c r="W154" s="197">
        <f t="shared" ref="W154:X154" si="147">C154/100</f>
        <v>0</v>
      </c>
      <c r="X154" s="197">
        <f t="shared" si="147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131.0</v>
      </c>
      <c r="B155" s="192"/>
      <c r="C155" s="192"/>
      <c r="D155" s="192"/>
      <c r="E155" s="192"/>
      <c r="F155" s="192"/>
      <c r="G155" s="192"/>
      <c r="H155" s="193" t="str">
        <f t="shared" si="7"/>
        <v/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35"/>
        <v>0</v>
      </c>
      <c r="T155" s="198" t="str">
        <f t="shared" si="38"/>
        <v/>
      </c>
      <c r="U155" s="198">
        <f t="shared" si="36"/>
        <v>0</v>
      </c>
      <c r="V155" s="201"/>
      <c r="W155" s="197">
        <f t="shared" ref="W155:X155" si="148">C155/100</f>
        <v>0</v>
      </c>
      <c r="X155" s="197">
        <f t="shared" si="148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132.0</v>
      </c>
      <c r="B156" s="192"/>
      <c r="C156" s="192"/>
      <c r="D156" s="192"/>
      <c r="E156" s="192"/>
      <c r="F156" s="192"/>
      <c r="G156" s="192"/>
      <c r="H156" s="193" t="str">
        <f t="shared" si="7"/>
        <v/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35"/>
        <v>0</v>
      </c>
      <c r="T156" s="198" t="str">
        <f t="shared" si="38"/>
        <v/>
      </c>
      <c r="U156" s="198">
        <f t="shared" si="36"/>
        <v>0</v>
      </c>
      <c r="V156" s="201"/>
      <c r="W156" s="197">
        <f t="shared" ref="W156:X156" si="149">C156/100</f>
        <v>0</v>
      </c>
      <c r="X156" s="197">
        <f t="shared" si="149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133.0</v>
      </c>
      <c r="B157" s="192"/>
      <c r="C157" s="192"/>
      <c r="D157" s="192"/>
      <c r="E157" s="192"/>
      <c r="F157" s="192"/>
      <c r="G157" s="192"/>
      <c r="H157" s="193" t="str">
        <f t="shared" si="7"/>
        <v/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35"/>
        <v>0</v>
      </c>
      <c r="T157" s="198" t="str">
        <f t="shared" si="38"/>
        <v/>
      </c>
      <c r="U157" s="198">
        <f t="shared" si="36"/>
        <v>0</v>
      </c>
      <c r="V157" s="201"/>
      <c r="W157" s="197">
        <f t="shared" ref="W157:X157" si="150">C157/100</f>
        <v>0</v>
      </c>
      <c r="X157" s="197">
        <f t="shared" si="150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134.0</v>
      </c>
      <c r="B158" s="192"/>
      <c r="C158" s="192"/>
      <c r="D158" s="192"/>
      <c r="E158" s="192"/>
      <c r="F158" s="192"/>
      <c r="G158" s="192"/>
      <c r="H158" s="193" t="str">
        <f t="shared" si="7"/>
        <v/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35"/>
        <v>0</v>
      </c>
      <c r="T158" s="198" t="str">
        <f t="shared" si="38"/>
        <v/>
      </c>
      <c r="U158" s="198">
        <f t="shared" si="36"/>
        <v>0</v>
      </c>
      <c r="V158" s="201"/>
      <c r="W158" s="197">
        <f t="shared" ref="W158:X158" si="151">C158/100</f>
        <v>0</v>
      </c>
      <c r="X158" s="197">
        <f t="shared" si="151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135.0</v>
      </c>
      <c r="B159" s="192"/>
      <c r="C159" s="192"/>
      <c r="D159" s="192"/>
      <c r="E159" s="192"/>
      <c r="F159" s="192"/>
      <c r="G159" s="192"/>
      <c r="H159" s="193" t="str">
        <f t="shared" si="7"/>
        <v/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35"/>
        <v>0</v>
      </c>
      <c r="T159" s="198" t="str">
        <f t="shared" si="38"/>
        <v/>
      </c>
      <c r="U159" s="198">
        <f t="shared" si="36"/>
        <v>0</v>
      </c>
      <c r="V159" s="201"/>
      <c r="W159" s="197">
        <f t="shared" ref="W159:X159" si="152">C159/100</f>
        <v>0</v>
      </c>
      <c r="X159" s="197">
        <f t="shared" si="152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136.0</v>
      </c>
      <c r="B160" s="192"/>
      <c r="C160" s="192"/>
      <c r="D160" s="192"/>
      <c r="E160" s="192"/>
      <c r="F160" s="192"/>
      <c r="G160" s="192"/>
      <c r="H160" s="193" t="str">
        <f t="shared" si="7"/>
        <v/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35"/>
        <v>0</v>
      </c>
      <c r="T160" s="198" t="str">
        <f t="shared" si="38"/>
        <v/>
      </c>
      <c r="U160" s="198">
        <f t="shared" si="36"/>
        <v>0</v>
      </c>
      <c r="V160" s="201"/>
      <c r="W160" s="197">
        <f t="shared" ref="W160:X160" si="153">C160/100</f>
        <v>0</v>
      </c>
      <c r="X160" s="197">
        <f t="shared" si="153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137.0</v>
      </c>
      <c r="B161" s="192"/>
      <c r="C161" s="192"/>
      <c r="D161" s="192"/>
      <c r="E161" s="192"/>
      <c r="F161" s="192"/>
      <c r="G161" s="192"/>
      <c r="H161" s="193" t="str">
        <f t="shared" si="7"/>
        <v/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35"/>
        <v>0</v>
      </c>
      <c r="T161" s="198" t="str">
        <f t="shared" si="38"/>
        <v/>
      </c>
      <c r="U161" s="198">
        <f t="shared" si="36"/>
        <v>0</v>
      </c>
      <c r="V161" s="201"/>
      <c r="W161" s="197">
        <f t="shared" ref="W161:X161" si="154">C161/100</f>
        <v>0</v>
      </c>
      <c r="X161" s="197">
        <f t="shared" si="154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138.0</v>
      </c>
      <c r="B162" s="192"/>
      <c r="C162" s="192"/>
      <c r="D162" s="192"/>
      <c r="E162" s="192"/>
      <c r="F162" s="192"/>
      <c r="G162" s="192"/>
      <c r="H162" s="193" t="str">
        <f t="shared" si="7"/>
        <v/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35"/>
        <v>0</v>
      </c>
      <c r="T162" s="198" t="str">
        <f t="shared" si="38"/>
        <v/>
      </c>
      <c r="U162" s="198">
        <f t="shared" si="36"/>
        <v>0</v>
      </c>
      <c r="V162" s="201"/>
      <c r="W162" s="197">
        <f t="shared" ref="W162:X162" si="155">C162/100</f>
        <v>0</v>
      </c>
      <c r="X162" s="197">
        <f t="shared" si="155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139.0</v>
      </c>
      <c r="B163" s="192"/>
      <c r="C163" s="192"/>
      <c r="D163" s="192"/>
      <c r="E163" s="192"/>
      <c r="F163" s="192"/>
      <c r="G163" s="192"/>
      <c r="H163" s="193" t="str">
        <f t="shared" si="7"/>
        <v/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35"/>
        <v>0</v>
      </c>
      <c r="T163" s="198" t="str">
        <f t="shared" si="38"/>
        <v/>
      </c>
      <c r="U163" s="198">
        <f t="shared" si="36"/>
        <v>0</v>
      </c>
      <c r="V163" s="201"/>
      <c r="W163" s="197">
        <f t="shared" ref="W163:X163" si="156">C163/100</f>
        <v>0</v>
      </c>
      <c r="X163" s="197">
        <f t="shared" si="156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140.0</v>
      </c>
      <c r="B164" s="192"/>
      <c r="C164" s="192"/>
      <c r="D164" s="192"/>
      <c r="E164" s="192"/>
      <c r="F164" s="192"/>
      <c r="G164" s="192"/>
      <c r="H164" s="193" t="str">
        <f t="shared" si="7"/>
        <v/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35"/>
        <v>0</v>
      </c>
      <c r="T164" s="198" t="str">
        <f t="shared" si="38"/>
        <v/>
      </c>
      <c r="U164" s="198">
        <f t="shared" si="36"/>
        <v>0</v>
      </c>
      <c r="V164" s="201"/>
      <c r="W164" s="197">
        <f t="shared" ref="W164:X164" si="157">C164/100</f>
        <v>0</v>
      </c>
      <c r="X164" s="197">
        <f t="shared" si="157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141.0</v>
      </c>
      <c r="B165" s="192"/>
      <c r="C165" s="192"/>
      <c r="D165" s="192"/>
      <c r="E165" s="192"/>
      <c r="F165" s="192"/>
      <c r="G165" s="192"/>
      <c r="H165" s="193" t="str">
        <f t="shared" si="7"/>
        <v/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35"/>
        <v>0</v>
      </c>
      <c r="T165" s="198" t="str">
        <f t="shared" si="38"/>
        <v/>
      </c>
      <c r="U165" s="198">
        <f t="shared" si="36"/>
        <v>0</v>
      </c>
      <c r="V165" s="201"/>
      <c r="W165" s="197">
        <f t="shared" ref="W165:X165" si="158">C165/100</f>
        <v>0</v>
      </c>
      <c r="X165" s="197">
        <f t="shared" si="158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142.0</v>
      </c>
      <c r="B166" s="192"/>
      <c r="C166" s="192"/>
      <c r="D166" s="192"/>
      <c r="E166" s="192"/>
      <c r="F166" s="192"/>
      <c r="G166" s="192"/>
      <c r="H166" s="193" t="str">
        <f t="shared" si="7"/>
        <v/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35"/>
        <v>0</v>
      </c>
      <c r="T166" s="198" t="str">
        <f t="shared" si="38"/>
        <v/>
      </c>
      <c r="U166" s="198">
        <f t="shared" si="36"/>
        <v>0</v>
      </c>
      <c r="V166" s="201"/>
      <c r="W166" s="197">
        <f t="shared" ref="W166:X166" si="159">C166/100</f>
        <v>0</v>
      </c>
      <c r="X166" s="197">
        <f t="shared" si="159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143.0</v>
      </c>
      <c r="B167" s="192"/>
      <c r="C167" s="192"/>
      <c r="D167" s="192"/>
      <c r="E167" s="192"/>
      <c r="F167" s="192"/>
      <c r="G167" s="192"/>
      <c r="H167" s="193" t="str">
        <f t="shared" si="7"/>
        <v/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35"/>
        <v>0</v>
      </c>
      <c r="T167" s="198" t="str">
        <f t="shared" si="38"/>
        <v/>
      </c>
      <c r="U167" s="198">
        <f t="shared" si="36"/>
        <v>0</v>
      </c>
      <c r="V167" s="201"/>
      <c r="W167" s="197">
        <f t="shared" ref="W167:X167" si="160">C167/100</f>
        <v>0</v>
      </c>
      <c r="X167" s="197">
        <f t="shared" si="160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144.0</v>
      </c>
      <c r="B168" s="192"/>
      <c r="C168" s="192"/>
      <c r="D168" s="192"/>
      <c r="E168" s="192"/>
      <c r="F168" s="192"/>
      <c r="G168" s="192"/>
      <c r="H168" s="193" t="str">
        <f t="shared" si="7"/>
        <v/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35"/>
        <v>0</v>
      </c>
      <c r="T168" s="198" t="str">
        <f t="shared" si="38"/>
        <v/>
      </c>
      <c r="U168" s="198">
        <f t="shared" si="36"/>
        <v>0</v>
      </c>
      <c r="V168" s="201"/>
      <c r="W168" s="197">
        <f t="shared" ref="W168:X168" si="161">C168/100</f>
        <v>0</v>
      </c>
      <c r="X168" s="197">
        <f t="shared" si="161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145.0</v>
      </c>
      <c r="B169" s="192"/>
      <c r="C169" s="192"/>
      <c r="D169" s="192"/>
      <c r="E169" s="192"/>
      <c r="F169" s="192"/>
      <c r="G169" s="192"/>
      <c r="H169" s="193" t="str">
        <f t="shared" si="7"/>
        <v/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35"/>
        <v>0</v>
      </c>
      <c r="T169" s="198" t="str">
        <f t="shared" si="38"/>
        <v/>
      </c>
      <c r="U169" s="198">
        <f t="shared" si="36"/>
        <v>0</v>
      </c>
      <c r="V169" s="201"/>
      <c r="W169" s="197">
        <f t="shared" ref="W169:X169" si="162">C169/100</f>
        <v>0</v>
      </c>
      <c r="X169" s="197">
        <f t="shared" si="162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146.0</v>
      </c>
      <c r="B170" s="192"/>
      <c r="C170" s="192"/>
      <c r="D170" s="192"/>
      <c r="E170" s="192"/>
      <c r="F170" s="192"/>
      <c r="G170" s="192"/>
      <c r="H170" s="193" t="str">
        <f t="shared" si="7"/>
        <v/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35"/>
        <v>0</v>
      </c>
      <c r="T170" s="198" t="str">
        <f t="shared" si="38"/>
        <v/>
      </c>
      <c r="U170" s="198">
        <f t="shared" si="36"/>
        <v>0</v>
      </c>
      <c r="V170" s="201"/>
      <c r="W170" s="197">
        <f t="shared" ref="W170:X170" si="163">C170/100</f>
        <v>0</v>
      </c>
      <c r="X170" s="197">
        <f t="shared" si="163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147.0</v>
      </c>
      <c r="B171" s="192"/>
      <c r="C171" s="192"/>
      <c r="D171" s="192"/>
      <c r="E171" s="192"/>
      <c r="F171" s="192"/>
      <c r="G171" s="192"/>
      <c r="H171" s="193" t="str">
        <f t="shared" si="7"/>
        <v/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35"/>
        <v>0</v>
      </c>
      <c r="T171" s="198" t="str">
        <f t="shared" si="38"/>
        <v/>
      </c>
      <c r="U171" s="198">
        <f t="shared" si="36"/>
        <v>0</v>
      </c>
      <c r="V171" s="201"/>
      <c r="W171" s="197">
        <f t="shared" ref="W171:X171" si="164">C171/100</f>
        <v>0</v>
      </c>
      <c r="X171" s="197">
        <f t="shared" si="164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148.0</v>
      </c>
      <c r="B172" s="192"/>
      <c r="C172" s="192"/>
      <c r="D172" s="192"/>
      <c r="E172" s="192"/>
      <c r="F172" s="192"/>
      <c r="G172" s="192"/>
      <c r="H172" s="193" t="str">
        <f t="shared" si="7"/>
        <v/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35"/>
        <v>0</v>
      </c>
      <c r="T172" s="198" t="str">
        <f t="shared" si="38"/>
        <v/>
      </c>
      <c r="U172" s="198">
        <f t="shared" si="36"/>
        <v>0</v>
      </c>
      <c r="V172" s="201"/>
      <c r="W172" s="197">
        <f t="shared" ref="W172:X172" si="165">C172/100</f>
        <v>0</v>
      </c>
      <c r="X172" s="197">
        <f t="shared" si="165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149.0</v>
      </c>
      <c r="B173" s="192"/>
      <c r="C173" s="192"/>
      <c r="D173" s="192"/>
      <c r="E173" s="192"/>
      <c r="F173" s="192"/>
      <c r="G173" s="192"/>
      <c r="H173" s="193" t="str">
        <f t="shared" si="7"/>
        <v/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35"/>
        <v>0</v>
      </c>
      <c r="T173" s="198" t="str">
        <f t="shared" si="38"/>
        <v/>
      </c>
      <c r="U173" s="198">
        <f t="shared" si="36"/>
        <v>0</v>
      </c>
      <c r="V173" s="201"/>
      <c r="W173" s="197">
        <f t="shared" ref="W173:X173" si="166">C173/100</f>
        <v>0</v>
      </c>
      <c r="X173" s="197">
        <f t="shared" si="166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150.0</v>
      </c>
      <c r="B174" s="192"/>
      <c r="C174" s="192"/>
      <c r="D174" s="192"/>
      <c r="E174" s="192"/>
      <c r="F174" s="192"/>
      <c r="G174" s="192"/>
      <c r="H174" s="193" t="str">
        <f t="shared" si="7"/>
        <v/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35"/>
        <v>0</v>
      </c>
      <c r="T174" s="198" t="str">
        <f t="shared" si="38"/>
        <v/>
      </c>
      <c r="U174" s="198">
        <f t="shared" si="36"/>
        <v>0</v>
      </c>
      <c r="V174" s="201"/>
      <c r="W174" s="197">
        <f t="shared" ref="W174:X174" si="167">C174/100</f>
        <v>0</v>
      </c>
      <c r="X174" s="197">
        <f t="shared" si="167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151.0</v>
      </c>
      <c r="B175" s="192"/>
      <c r="C175" s="192"/>
      <c r="D175" s="192"/>
      <c r="E175" s="192"/>
      <c r="F175" s="192"/>
      <c r="G175" s="192"/>
      <c r="H175" s="193" t="str">
        <f t="shared" si="7"/>
        <v/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35"/>
        <v>0</v>
      </c>
      <c r="T175" s="198" t="str">
        <f t="shared" si="38"/>
        <v/>
      </c>
      <c r="U175" s="198">
        <f t="shared" si="36"/>
        <v>0</v>
      </c>
      <c r="V175" s="201"/>
      <c r="W175" s="197">
        <f t="shared" ref="W175:X175" si="168">C175/100</f>
        <v>0</v>
      </c>
      <c r="X175" s="197">
        <f t="shared" si="168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152.0</v>
      </c>
      <c r="B176" s="192"/>
      <c r="C176" s="192"/>
      <c r="D176" s="192"/>
      <c r="E176" s="192"/>
      <c r="F176" s="192"/>
      <c r="G176" s="192"/>
      <c r="H176" s="193" t="str">
        <f t="shared" si="7"/>
        <v/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35"/>
        <v>0</v>
      </c>
      <c r="T176" s="198" t="str">
        <f t="shared" si="38"/>
        <v/>
      </c>
      <c r="U176" s="198">
        <f t="shared" si="36"/>
        <v>0</v>
      </c>
      <c r="V176" s="201"/>
      <c r="W176" s="197">
        <f t="shared" ref="W176:X176" si="169">C176/100</f>
        <v>0</v>
      </c>
      <c r="X176" s="197">
        <f t="shared" si="169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153.0</v>
      </c>
      <c r="B177" s="192"/>
      <c r="C177" s="192"/>
      <c r="D177" s="192"/>
      <c r="E177" s="192"/>
      <c r="F177" s="192"/>
      <c r="G177" s="192"/>
      <c r="H177" s="193" t="str">
        <f t="shared" si="7"/>
        <v/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35"/>
        <v>0</v>
      </c>
      <c r="T177" s="198" t="str">
        <f t="shared" si="38"/>
        <v/>
      </c>
      <c r="U177" s="198">
        <f t="shared" si="36"/>
        <v>0</v>
      </c>
      <c r="V177" s="201"/>
      <c r="W177" s="197">
        <f t="shared" ref="W177:X177" si="170">C177/100</f>
        <v>0</v>
      </c>
      <c r="X177" s="197">
        <f t="shared" si="170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154.0</v>
      </c>
      <c r="B178" s="192"/>
      <c r="C178" s="192"/>
      <c r="D178" s="192"/>
      <c r="E178" s="192"/>
      <c r="F178" s="192"/>
      <c r="G178" s="192"/>
      <c r="H178" s="193" t="str">
        <f t="shared" si="7"/>
        <v/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35"/>
        <v>0</v>
      </c>
      <c r="T178" s="198" t="str">
        <f t="shared" si="38"/>
        <v/>
      </c>
      <c r="U178" s="198">
        <f t="shared" si="36"/>
        <v>0</v>
      </c>
      <c r="V178" s="201"/>
      <c r="W178" s="197">
        <f t="shared" ref="W178:X178" si="171">C178/100</f>
        <v>0</v>
      </c>
      <c r="X178" s="197">
        <f t="shared" si="171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155.0</v>
      </c>
      <c r="B179" s="192"/>
      <c r="C179" s="192"/>
      <c r="D179" s="192"/>
      <c r="E179" s="192"/>
      <c r="F179" s="192"/>
      <c r="G179" s="192"/>
      <c r="H179" s="193" t="str">
        <f t="shared" si="7"/>
        <v/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35"/>
        <v>0</v>
      </c>
      <c r="T179" s="198" t="str">
        <f t="shared" si="38"/>
        <v/>
      </c>
      <c r="U179" s="198">
        <f t="shared" si="36"/>
        <v>0</v>
      </c>
      <c r="V179" s="201"/>
      <c r="W179" s="197">
        <f t="shared" ref="W179:X179" si="172">C179/100</f>
        <v>0</v>
      </c>
      <c r="X179" s="197">
        <f t="shared" si="172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156.0</v>
      </c>
      <c r="B180" s="192"/>
      <c r="C180" s="192"/>
      <c r="D180" s="192"/>
      <c r="E180" s="192"/>
      <c r="F180" s="192"/>
      <c r="G180" s="192"/>
      <c r="H180" s="193" t="str">
        <f t="shared" si="7"/>
        <v/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35"/>
        <v>0</v>
      </c>
      <c r="T180" s="198" t="str">
        <f t="shared" si="38"/>
        <v/>
      </c>
      <c r="U180" s="198">
        <f t="shared" si="36"/>
        <v>0</v>
      </c>
      <c r="V180" s="201"/>
      <c r="W180" s="197">
        <f t="shared" ref="W180:X180" si="173">C180/100</f>
        <v>0</v>
      </c>
      <c r="X180" s="197">
        <f t="shared" si="173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157.0</v>
      </c>
      <c r="B181" s="192"/>
      <c r="C181" s="192"/>
      <c r="D181" s="192"/>
      <c r="E181" s="192"/>
      <c r="F181" s="192"/>
      <c r="G181" s="192"/>
      <c r="H181" s="193" t="str">
        <f t="shared" si="7"/>
        <v/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35"/>
        <v>0</v>
      </c>
      <c r="T181" s="198" t="str">
        <f t="shared" si="38"/>
        <v/>
      </c>
      <c r="U181" s="198">
        <f t="shared" si="36"/>
        <v>0</v>
      </c>
      <c r="V181" s="201"/>
      <c r="W181" s="197">
        <f t="shared" ref="W181:X181" si="174">C181/100</f>
        <v>0</v>
      </c>
      <c r="X181" s="197">
        <f t="shared" si="174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158.0</v>
      </c>
      <c r="B182" s="192"/>
      <c r="C182" s="192"/>
      <c r="D182" s="192"/>
      <c r="E182" s="192"/>
      <c r="F182" s="192"/>
      <c r="G182" s="192"/>
      <c r="H182" s="193" t="str">
        <f t="shared" si="7"/>
        <v/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35"/>
        <v>0</v>
      </c>
      <c r="T182" s="198" t="str">
        <f t="shared" si="38"/>
        <v/>
      </c>
      <c r="U182" s="198">
        <f t="shared" si="36"/>
        <v>0</v>
      </c>
      <c r="V182" s="201"/>
      <c r="W182" s="197">
        <f t="shared" ref="W182:X182" si="175">C182/100</f>
        <v>0</v>
      </c>
      <c r="X182" s="197">
        <f t="shared" si="175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159.0</v>
      </c>
      <c r="B183" s="192"/>
      <c r="C183" s="192"/>
      <c r="D183" s="192"/>
      <c r="E183" s="192"/>
      <c r="F183" s="192"/>
      <c r="G183" s="192"/>
      <c r="H183" s="193" t="str">
        <f t="shared" si="7"/>
        <v/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35"/>
        <v>0</v>
      </c>
      <c r="T183" s="198" t="str">
        <f t="shared" si="38"/>
        <v/>
      </c>
      <c r="U183" s="198">
        <f t="shared" si="36"/>
        <v>0</v>
      </c>
      <c r="V183" s="201"/>
      <c r="W183" s="197">
        <f t="shared" ref="W183:X183" si="176">C183/100</f>
        <v>0</v>
      </c>
      <c r="X183" s="197">
        <f t="shared" si="176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160.0</v>
      </c>
      <c r="B184" s="192"/>
      <c r="C184" s="192"/>
      <c r="D184" s="192"/>
      <c r="E184" s="192"/>
      <c r="F184" s="192"/>
      <c r="G184" s="192"/>
      <c r="H184" s="193" t="str">
        <f t="shared" si="7"/>
        <v/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35"/>
        <v>0</v>
      </c>
      <c r="T184" s="198" t="str">
        <f t="shared" si="38"/>
        <v/>
      </c>
      <c r="U184" s="198">
        <f t="shared" si="36"/>
        <v>0</v>
      </c>
      <c r="V184" s="201"/>
      <c r="W184" s="197">
        <f t="shared" ref="W184:X184" si="177">C184/100</f>
        <v>0</v>
      </c>
      <c r="X184" s="197">
        <f t="shared" si="177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161.0</v>
      </c>
      <c r="B185" s="192"/>
      <c r="C185" s="192"/>
      <c r="D185" s="192"/>
      <c r="E185" s="192"/>
      <c r="F185" s="192"/>
      <c r="G185" s="192"/>
      <c r="H185" s="193" t="str">
        <f t="shared" si="7"/>
        <v/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35"/>
        <v>0</v>
      </c>
      <c r="T185" s="198" t="str">
        <f t="shared" si="38"/>
        <v/>
      </c>
      <c r="U185" s="198">
        <f t="shared" si="36"/>
        <v>0</v>
      </c>
      <c r="V185" s="201"/>
      <c r="W185" s="197">
        <f t="shared" ref="W185:X185" si="178">C185/100</f>
        <v>0</v>
      </c>
      <c r="X185" s="197">
        <f t="shared" si="178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162.0</v>
      </c>
      <c r="B186" s="192"/>
      <c r="C186" s="192"/>
      <c r="D186" s="192"/>
      <c r="E186" s="192"/>
      <c r="F186" s="192"/>
      <c r="G186" s="192"/>
      <c r="H186" s="193" t="str">
        <f t="shared" si="7"/>
        <v/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35"/>
        <v>0</v>
      </c>
      <c r="T186" s="198" t="str">
        <f t="shared" si="38"/>
        <v/>
      </c>
      <c r="U186" s="198">
        <f t="shared" si="36"/>
        <v>0</v>
      </c>
      <c r="V186" s="201"/>
      <c r="W186" s="197">
        <f t="shared" ref="W186:X186" si="179">C186/100</f>
        <v>0</v>
      </c>
      <c r="X186" s="197">
        <f t="shared" si="179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163.0</v>
      </c>
      <c r="B187" s="192"/>
      <c r="C187" s="192"/>
      <c r="D187" s="192"/>
      <c r="E187" s="192"/>
      <c r="F187" s="192"/>
      <c r="G187" s="192"/>
      <c r="H187" s="193" t="str">
        <f t="shared" si="7"/>
        <v/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35"/>
        <v>0</v>
      </c>
      <c r="T187" s="198" t="str">
        <f t="shared" si="38"/>
        <v/>
      </c>
      <c r="U187" s="198">
        <f t="shared" si="36"/>
        <v>0</v>
      </c>
      <c r="V187" s="201"/>
      <c r="W187" s="197">
        <f t="shared" ref="W187:X187" si="180">C187/100</f>
        <v>0</v>
      </c>
      <c r="X187" s="197">
        <f t="shared" si="180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164.0</v>
      </c>
      <c r="B188" s="192"/>
      <c r="C188" s="192"/>
      <c r="D188" s="192"/>
      <c r="E188" s="192"/>
      <c r="F188" s="192"/>
      <c r="G188" s="192"/>
      <c r="H188" s="193" t="str">
        <f t="shared" si="7"/>
        <v/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35"/>
        <v>0</v>
      </c>
      <c r="T188" s="198" t="str">
        <f t="shared" si="38"/>
        <v/>
      </c>
      <c r="U188" s="198">
        <f t="shared" si="36"/>
        <v>0</v>
      </c>
      <c r="V188" s="201"/>
      <c r="W188" s="197">
        <f t="shared" ref="W188:X188" si="181">C188/100</f>
        <v>0</v>
      </c>
      <c r="X188" s="197">
        <f t="shared" si="181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165.0</v>
      </c>
      <c r="B189" s="192"/>
      <c r="C189" s="192"/>
      <c r="D189" s="192"/>
      <c r="E189" s="192"/>
      <c r="F189" s="192"/>
      <c r="G189" s="192"/>
      <c r="H189" s="193" t="str">
        <f t="shared" si="7"/>
        <v/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35"/>
        <v>0</v>
      </c>
      <c r="T189" s="198" t="str">
        <f t="shared" si="38"/>
        <v/>
      </c>
      <c r="U189" s="198">
        <f t="shared" si="36"/>
        <v>0</v>
      </c>
      <c r="V189" s="201"/>
      <c r="W189" s="197">
        <f t="shared" ref="W189:X189" si="182">C189/100</f>
        <v>0</v>
      </c>
      <c r="X189" s="197">
        <f t="shared" si="182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166.0</v>
      </c>
      <c r="B190" s="192"/>
      <c r="C190" s="192"/>
      <c r="D190" s="192"/>
      <c r="E190" s="192"/>
      <c r="F190" s="192"/>
      <c r="G190" s="192"/>
      <c r="H190" s="193" t="str">
        <f t="shared" si="7"/>
        <v/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35"/>
        <v>0</v>
      </c>
      <c r="T190" s="198" t="str">
        <f t="shared" si="38"/>
        <v/>
      </c>
      <c r="U190" s="198">
        <f t="shared" si="36"/>
        <v>0</v>
      </c>
      <c r="V190" s="201"/>
      <c r="W190" s="197">
        <f t="shared" ref="W190:X190" si="183">C190/100</f>
        <v>0</v>
      </c>
      <c r="X190" s="197">
        <f t="shared" si="183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167.0</v>
      </c>
      <c r="B191" s="192"/>
      <c r="C191" s="192"/>
      <c r="D191" s="192"/>
      <c r="E191" s="192"/>
      <c r="F191" s="192"/>
      <c r="G191" s="192"/>
      <c r="H191" s="193" t="str">
        <f t="shared" si="7"/>
        <v/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35"/>
        <v>0</v>
      </c>
      <c r="T191" s="198" t="str">
        <f t="shared" si="38"/>
        <v/>
      </c>
      <c r="U191" s="198">
        <f t="shared" si="36"/>
        <v>0</v>
      </c>
      <c r="V191" s="201"/>
      <c r="W191" s="197">
        <f t="shared" ref="W191:X191" si="184">C191/100</f>
        <v>0</v>
      </c>
      <c r="X191" s="197">
        <f t="shared" si="184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168.0</v>
      </c>
      <c r="B192" s="192"/>
      <c r="C192" s="192"/>
      <c r="D192" s="192"/>
      <c r="E192" s="192"/>
      <c r="F192" s="192"/>
      <c r="G192" s="192"/>
      <c r="H192" s="193" t="str">
        <f t="shared" si="7"/>
        <v/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35"/>
        <v>0</v>
      </c>
      <c r="T192" s="198" t="str">
        <f t="shared" si="38"/>
        <v/>
      </c>
      <c r="U192" s="198">
        <f t="shared" si="36"/>
        <v>0</v>
      </c>
      <c r="V192" s="201"/>
      <c r="W192" s="197">
        <f t="shared" ref="W192:X192" si="185">C192/100</f>
        <v>0</v>
      </c>
      <c r="X192" s="197">
        <f t="shared" si="185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169.0</v>
      </c>
      <c r="B193" s="192"/>
      <c r="C193" s="192"/>
      <c r="D193" s="192"/>
      <c r="E193" s="192"/>
      <c r="F193" s="192"/>
      <c r="G193" s="192"/>
      <c r="H193" s="193" t="str">
        <f t="shared" si="7"/>
        <v/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35"/>
        <v>0</v>
      </c>
      <c r="T193" s="198" t="str">
        <f t="shared" si="38"/>
        <v/>
      </c>
      <c r="U193" s="198">
        <f t="shared" si="36"/>
        <v>0</v>
      </c>
      <c r="V193" s="201"/>
      <c r="W193" s="197">
        <f t="shared" ref="W193:X193" si="186">C193/100</f>
        <v>0</v>
      </c>
      <c r="X193" s="197">
        <f t="shared" si="186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170.0</v>
      </c>
      <c r="B194" s="192"/>
      <c r="C194" s="192"/>
      <c r="D194" s="192"/>
      <c r="E194" s="192"/>
      <c r="F194" s="192"/>
      <c r="G194" s="192"/>
      <c r="H194" s="193" t="str">
        <f t="shared" si="7"/>
        <v/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35"/>
        <v>0</v>
      </c>
      <c r="T194" s="198" t="str">
        <f t="shared" si="38"/>
        <v/>
      </c>
      <c r="U194" s="198">
        <f t="shared" si="36"/>
        <v>0</v>
      </c>
      <c r="V194" s="201"/>
      <c r="W194" s="197">
        <f t="shared" ref="W194:X194" si="187">C194/100</f>
        <v>0</v>
      </c>
      <c r="X194" s="197">
        <f t="shared" si="187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171.0</v>
      </c>
      <c r="B195" s="192"/>
      <c r="C195" s="192"/>
      <c r="D195" s="192"/>
      <c r="E195" s="192"/>
      <c r="F195" s="192"/>
      <c r="G195" s="192"/>
      <c r="H195" s="193" t="str">
        <f t="shared" si="7"/>
        <v/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35"/>
        <v>0</v>
      </c>
      <c r="T195" s="198" t="str">
        <f t="shared" si="38"/>
        <v/>
      </c>
      <c r="U195" s="198">
        <f t="shared" si="36"/>
        <v>0</v>
      </c>
      <c r="V195" s="201"/>
      <c r="W195" s="197">
        <f t="shared" ref="W195:X195" si="188">C195/100</f>
        <v>0</v>
      </c>
      <c r="X195" s="197">
        <f t="shared" si="188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172.0</v>
      </c>
      <c r="B196" s="192"/>
      <c r="C196" s="192"/>
      <c r="D196" s="192"/>
      <c r="E196" s="192"/>
      <c r="F196" s="192"/>
      <c r="G196" s="192"/>
      <c r="H196" s="193" t="str">
        <f t="shared" si="7"/>
        <v/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35"/>
        <v>0</v>
      </c>
      <c r="T196" s="198" t="str">
        <f t="shared" si="38"/>
        <v/>
      </c>
      <c r="U196" s="198">
        <f t="shared" si="36"/>
        <v>0</v>
      </c>
      <c r="V196" s="201"/>
      <c r="W196" s="197">
        <f t="shared" ref="W196:X196" si="189">C196/100</f>
        <v>0</v>
      </c>
      <c r="X196" s="197">
        <f t="shared" si="189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173.0</v>
      </c>
      <c r="B197" s="192"/>
      <c r="C197" s="192"/>
      <c r="D197" s="192"/>
      <c r="E197" s="192"/>
      <c r="F197" s="192"/>
      <c r="G197" s="192"/>
      <c r="H197" s="193" t="str">
        <f t="shared" si="7"/>
        <v/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35"/>
        <v>0</v>
      </c>
      <c r="T197" s="198" t="str">
        <f t="shared" si="38"/>
        <v/>
      </c>
      <c r="U197" s="198">
        <f t="shared" si="36"/>
        <v>0</v>
      </c>
      <c r="V197" s="201"/>
      <c r="W197" s="197">
        <f t="shared" ref="W197:X197" si="190">C197/100</f>
        <v>0</v>
      </c>
      <c r="X197" s="197">
        <f t="shared" si="190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174.0</v>
      </c>
      <c r="B198" s="192"/>
      <c r="C198" s="192"/>
      <c r="D198" s="192"/>
      <c r="E198" s="192"/>
      <c r="F198" s="192"/>
      <c r="G198" s="192"/>
      <c r="H198" s="193" t="str">
        <f t="shared" si="7"/>
        <v/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35"/>
        <v>0</v>
      </c>
      <c r="T198" s="198" t="str">
        <f t="shared" si="38"/>
        <v/>
      </c>
      <c r="U198" s="198">
        <f t="shared" si="36"/>
        <v>0</v>
      </c>
      <c r="V198" s="201"/>
      <c r="W198" s="197">
        <f t="shared" ref="W198:X198" si="191">C198/100</f>
        <v>0</v>
      </c>
      <c r="X198" s="197">
        <f t="shared" si="191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175.0</v>
      </c>
      <c r="B199" s="192"/>
      <c r="C199" s="192"/>
      <c r="D199" s="192"/>
      <c r="E199" s="192"/>
      <c r="F199" s="192"/>
      <c r="G199" s="192"/>
      <c r="H199" s="193" t="str">
        <f t="shared" si="7"/>
        <v/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35"/>
        <v>0</v>
      </c>
      <c r="T199" s="198" t="str">
        <f t="shared" si="38"/>
        <v/>
      </c>
      <c r="U199" s="198">
        <f t="shared" si="36"/>
        <v>0</v>
      </c>
      <c r="V199" s="201"/>
      <c r="W199" s="197">
        <f t="shared" ref="W199:X199" si="192">C199/100</f>
        <v>0</v>
      </c>
      <c r="X199" s="197">
        <f t="shared" si="192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176.0</v>
      </c>
      <c r="B200" s="192"/>
      <c r="C200" s="192"/>
      <c r="D200" s="192"/>
      <c r="E200" s="192"/>
      <c r="F200" s="192"/>
      <c r="G200" s="192"/>
      <c r="H200" s="193" t="str">
        <f t="shared" si="7"/>
        <v/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35"/>
        <v>0</v>
      </c>
      <c r="T200" s="198" t="str">
        <f t="shared" si="38"/>
        <v/>
      </c>
      <c r="U200" s="198">
        <f t="shared" si="36"/>
        <v>0</v>
      </c>
      <c r="V200" s="201"/>
      <c r="W200" s="197">
        <f t="shared" ref="W200:X200" si="193">C200/100</f>
        <v>0</v>
      </c>
      <c r="X200" s="197">
        <f t="shared" si="193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177.0</v>
      </c>
      <c r="B201" s="192"/>
      <c r="C201" s="192"/>
      <c r="D201" s="192"/>
      <c r="E201" s="192"/>
      <c r="F201" s="192"/>
      <c r="G201" s="192"/>
      <c r="H201" s="193" t="str">
        <f t="shared" si="7"/>
        <v/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35"/>
        <v>0</v>
      </c>
      <c r="T201" s="198" t="str">
        <f t="shared" si="38"/>
        <v/>
      </c>
      <c r="U201" s="198">
        <f t="shared" si="36"/>
        <v>0</v>
      </c>
      <c r="V201" s="201"/>
      <c r="W201" s="197">
        <f t="shared" ref="W201:X201" si="194">C201/100</f>
        <v>0</v>
      </c>
      <c r="X201" s="197">
        <f t="shared" si="194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178.0</v>
      </c>
      <c r="B202" s="192"/>
      <c r="C202" s="192"/>
      <c r="D202" s="192"/>
      <c r="E202" s="192"/>
      <c r="F202" s="192"/>
      <c r="G202" s="192"/>
      <c r="H202" s="193" t="str">
        <f t="shared" si="7"/>
        <v/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35"/>
        <v>0</v>
      </c>
      <c r="T202" s="198" t="str">
        <f t="shared" si="38"/>
        <v/>
      </c>
      <c r="U202" s="198">
        <f t="shared" si="36"/>
        <v>0</v>
      </c>
      <c r="V202" s="201"/>
      <c r="W202" s="197">
        <f t="shared" ref="W202:X202" si="195">C202/100</f>
        <v>0</v>
      </c>
      <c r="X202" s="197">
        <f t="shared" si="195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179.0</v>
      </c>
      <c r="B203" s="192"/>
      <c r="C203" s="192"/>
      <c r="D203" s="192"/>
      <c r="E203" s="192"/>
      <c r="F203" s="192"/>
      <c r="G203" s="192"/>
      <c r="H203" s="193" t="str">
        <f t="shared" si="7"/>
        <v/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35"/>
        <v>0</v>
      </c>
      <c r="T203" s="198" t="str">
        <f t="shared" si="38"/>
        <v/>
      </c>
      <c r="U203" s="198">
        <f t="shared" si="36"/>
        <v>0</v>
      </c>
      <c r="V203" s="201"/>
      <c r="W203" s="197">
        <f t="shared" ref="W203:X203" si="196">C203/100</f>
        <v>0</v>
      </c>
      <c r="X203" s="197">
        <f t="shared" si="196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180.0</v>
      </c>
      <c r="B204" s="192"/>
      <c r="C204" s="192"/>
      <c r="D204" s="192"/>
      <c r="E204" s="192"/>
      <c r="F204" s="192"/>
      <c r="G204" s="192"/>
      <c r="H204" s="193" t="str">
        <f t="shared" si="7"/>
        <v/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35"/>
        <v>0</v>
      </c>
      <c r="T204" s="198" t="str">
        <f t="shared" si="38"/>
        <v/>
      </c>
      <c r="U204" s="198">
        <f t="shared" si="36"/>
        <v>0</v>
      </c>
      <c r="V204" s="201"/>
      <c r="W204" s="197">
        <f t="shared" ref="W204:X204" si="197">C204/100</f>
        <v>0</v>
      </c>
      <c r="X204" s="197">
        <f t="shared" si="197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181.0</v>
      </c>
      <c r="B205" s="192"/>
      <c r="C205" s="192"/>
      <c r="D205" s="192"/>
      <c r="E205" s="192"/>
      <c r="F205" s="192"/>
      <c r="G205" s="192"/>
      <c r="H205" s="193" t="str">
        <f t="shared" si="7"/>
        <v/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35"/>
        <v>0</v>
      </c>
      <c r="T205" s="198" t="str">
        <f t="shared" si="38"/>
        <v/>
      </c>
      <c r="U205" s="198">
        <f t="shared" si="36"/>
        <v>0</v>
      </c>
      <c r="V205" s="201"/>
      <c r="W205" s="197">
        <f t="shared" ref="W205:X205" si="198">C205/100</f>
        <v>0</v>
      </c>
      <c r="X205" s="197">
        <f t="shared" si="198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182.0</v>
      </c>
      <c r="B206" s="192"/>
      <c r="C206" s="192"/>
      <c r="D206" s="192"/>
      <c r="E206" s="192"/>
      <c r="F206" s="192"/>
      <c r="G206" s="192"/>
      <c r="H206" s="193" t="str">
        <f t="shared" si="7"/>
        <v/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35"/>
        <v>0</v>
      </c>
      <c r="T206" s="198" t="str">
        <f t="shared" si="38"/>
        <v/>
      </c>
      <c r="U206" s="198">
        <f t="shared" si="36"/>
        <v>0</v>
      </c>
      <c r="V206" s="201"/>
      <c r="W206" s="197">
        <f t="shared" ref="W206:X206" si="199">C206/100</f>
        <v>0</v>
      </c>
      <c r="X206" s="197">
        <f t="shared" si="199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183.0</v>
      </c>
      <c r="B207" s="192"/>
      <c r="C207" s="192"/>
      <c r="D207" s="192"/>
      <c r="E207" s="192"/>
      <c r="F207" s="192"/>
      <c r="G207" s="192"/>
      <c r="H207" s="193" t="str">
        <f t="shared" si="7"/>
        <v/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35"/>
        <v>0</v>
      </c>
      <c r="T207" s="198" t="str">
        <f t="shared" si="38"/>
        <v/>
      </c>
      <c r="U207" s="198">
        <f t="shared" si="36"/>
        <v>0</v>
      </c>
      <c r="V207" s="201"/>
      <c r="W207" s="197">
        <f t="shared" ref="W207:X207" si="200">C207/100</f>
        <v>0</v>
      </c>
      <c r="X207" s="197">
        <f t="shared" si="200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184.0</v>
      </c>
      <c r="B208" s="192"/>
      <c r="C208" s="192"/>
      <c r="D208" s="192"/>
      <c r="E208" s="192"/>
      <c r="F208" s="192"/>
      <c r="G208" s="192"/>
      <c r="H208" s="193" t="str">
        <f t="shared" si="7"/>
        <v/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35"/>
        <v>0</v>
      </c>
      <c r="T208" s="198" t="str">
        <f t="shared" si="38"/>
        <v/>
      </c>
      <c r="U208" s="198">
        <f t="shared" si="36"/>
        <v>0</v>
      </c>
      <c r="V208" s="201"/>
      <c r="W208" s="197">
        <f t="shared" ref="W208:X208" si="201">C208/100</f>
        <v>0</v>
      </c>
      <c r="X208" s="197">
        <f t="shared" si="201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185.0</v>
      </c>
      <c r="B209" s="192"/>
      <c r="C209" s="192"/>
      <c r="D209" s="192"/>
      <c r="E209" s="192"/>
      <c r="F209" s="192"/>
      <c r="G209" s="192"/>
      <c r="H209" s="193" t="str">
        <f t="shared" si="7"/>
        <v/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35"/>
        <v>0</v>
      </c>
      <c r="T209" s="198" t="str">
        <f t="shared" si="38"/>
        <v/>
      </c>
      <c r="U209" s="198">
        <f t="shared" si="36"/>
        <v>0</v>
      </c>
      <c r="V209" s="201"/>
      <c r="W209" s="197">
        <f t="shared" ref="W209:X209" si="202">C209/100</f>
        <v>0</v>
      </c>
      <c r="X209" s="197">
        <f t="shared" si="202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186.0</v>
      </c>
      <c r="B210" s="192"/>
      <c r="C210" s="192"/>
      <c r="D210" s="192"/>
      <c r="E210" s="192"/>
      <c r="F210" s="192"/>
      <c r="G210" s="192"/>
      <c r="H210" s="193" t="str">
        <f t="shared" si="7"/>
        <v/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35"/>
        <v>0</v>
      </c>
      <c r="T210" s="198" t="str">
        <f t="shared" si="38"/>
        <v/>
      </c>
      <c r="U210" s="198">
        <f t="shared" si="36"/>
        <v>0</v>
      </c>
      <c r="V210" s="201"/>
      <c r="W210" s="197">
        <f t="shared" ref="W210:X210" si="203">C210/100</f>
        <v>0</v>
      </c>
      <c r="X210" s="197">
        <f t="shared" si="203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187.0</v>
      </c>
      <c r="B211" s="192"/>
      <c r="C211" s="192"/>
      <c r="D211" s="192"/>
      <c r="E211" s="192"/>
      <c r="F211" s="192"/>
      <c r="G211" s="192"/>
      <c r="H211" s="193" t="str">
        <f t="shared" si="7"/>
        <v/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35"/>
        <v>0</v>
      </c>
      <c r="T211" s="198" t="str">
        <f t="shared" si="38"/>
        <v/>
      </c>
      <c r="U211" s="198">
        <f t="shared" si="36"/>
        <v>0</v>
      </c>
      <c r="V211" s="201"/>
      <c r="W211" s="197">
        <f t="shared" ref="W211:X211" si="204">C211/100</f>
        <v>0</v>
      </c>
      <c r="X211" s="197">
        <f t="shared" si="204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188.0</v>
      </c>
      <c r="B212" s="192"/>
      <c r="C212" s="192"/>
      <c r="D212" s="192"/>
      <c r="E212" s="192"/>
      <c r="F212" s="192"/>
      <c r="G212" s="192"/>
      <c r="H212" s="193" t="str">
        <f t="shared" si="7"/>
        <v/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35"/>
        <v>0</v>
      </c>
      <c r="T212" s="198" t="str">
        <f t="shared" si="38"/>
        <v/>
      </c>
      <c r="U212" s="198">
        <f t="shared" si="36"/>
        <v>0</v>
      </c>
      <c r="V212" s="201"/>
      <c r="W212" s="197">
        <f t="shared" ref="W212:X212" si="205">C212/100</f>
        <v>0</v>
      </c>
      <c r="X212" s="197">
        <f t="shared" si="205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189.0</v>
      </c>
      <c r="B213" s="192"/>
      <c r="C213" s="192"/>
      <c r="D213" s="192"/>
      <c r="E213" s="192"/>
      <c r="F213" s="192"/>
      <c r="G213" s="192"/>
      <c r="H213" s="193" t="str">
        <f t="shared" si="7"/>
        <v/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35"/>
        <v>0</v>
      </c>
      <c r="T213" s="198" t="str">
        <f t="shared" si="38"/>
        <v/>
      </c>
      <c r="U213" s="198">
        <f t="shared" si="36"/>
        <v>0</v>
      </c>
      <c r="V213" s="201"/>
      <c r="W213" s="197">
        <f t="shared" ref="W213:X213" si="206">C213/100</f>
        <v>0</v>
      </c>
      <c r="X213" s="197">
        <f t="shared" si="206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190.0</v>
      </c>
      <c r="B214" s="192"/>
      <c r="C214" s="192"/>
      <c r="D214" s="192"/>
      <c r="E214" s="192"/>
      <c r="F214" s="192"/>
      <c r="G214" s="192"/>
      <c r="H214" s="193" t="str">
        <f t="shared" si="7"/>
        <v/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35"/>
        <v>0</v>
      </c>
      <c r="T214" s="198" t="str">
        <f t="shared" si="38"/>
        <v/>
      </c>
      <c r="U214" s="198">
        <f t="shared" si="36"/>
        <v>0</v>
      </c>
      <c r="V214" s="201"/>
      <c r="W214" s="197">
        <f t="shared" ref="W214:X214" si="207">C214/100</f>
        <v>0</v>
      </c>
      <c r="X214" s="197">
        <f t="shared" si="207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191.0</v>
      </c>
      <c r="B215" s="192"/>
      <c r="C215" s="192"/>
      <c r="D215" s="192"/>
      <c r="E215" s="192"/>
      <c r="F215" s="192"/>
      <c r="G215" s="192"/>
      <c r="H215" s="193" t="str">
        <f t="shared" si="7"/>
        <v/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35"/>
        <v>0</v>
      </c>
      <c r="T215" s="198" t="str">
        <f t="shared" si="38"/>
        <v/>
      </c>
      <c r="U215" s="198">
        <f t="shared" si="36"/>
        <v>0</v>
      </c>
      <c r="V215" s="201"/>
      <c r="W215" s="197">
        <f t="shared" ref="W215:X215" si="208">C215/100</f>
        <v>0</v>
      </c>
      <c r="X215" s="197">
        <f t="shared" si="208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192.0</v>
      </c>
      <c r="B216" s="192"/>
      <c r="C216" s="192"/>
      <c r="D216" s="192"/>
      <c r="E216" s="192"/>
      <c r="F216" s="192"/>
      <c r="G216" s="192"/>
      <c r="H216" s="193" t="str">
        <f t="shared" si="7"/>
        <v/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35"/>
        <v>0</v>
      </c>
      <c r="T216" s="198" t="str">
        <f t="shared" si="38"/>
        <v/>
      </c>
      <c r="U216" s="198">
        <f t="shared" si="36"/>
        <v>0</v>
      </c>
      <c r="V216" s="201"/>
      <c r="W216" s="197">
        <f t="shared" ref="W216:X216" si="209">C216/100</f>
        <v>0</v>
      </c>
      <c r="X216" s="197">
        <f t="shared" si="209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193.0</v>
      </c>
      <c r="B217" s="192"/>
      <c r="C217" s="192"/>
      <c r="D217" s="192"/>
      <c r="E217" s="192"/>
      <c r="F217" s="192"/>
      <c r="G217" s="192"/>
      <c r="H217" s="193" t="str">
        <f t="shared" si="7"/>
        <v/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35"/>
        <v>0</v>
      </c>
      <c r="T217" s="198" t="str">
        <f t="shared" si="38"/>
        <v/>
      </c>
      <c r="U217" s="198">
        <f t="shared" si="36"/>
        <v>0</v>
      </c>
      <c r="V217" s="201"/>
      <c r="W217" s="197">
        <f t="shared" ref="W217:X217" si="210">C217/100</f>
        <v>0</v>
      </c>
      <c r="X217" s="197">
        <f t="shared" si="210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194.0</v>
      </c>
      <c r="B218" s="192"/>
      <c r="C218" s="192"/>
      <c r="D218" s="192"/>
      <c r="E218" s="192"/>
      <c r="F218" s="192"/>
      <c r="G218" s="192"/>
      <c r="H218" s="193" t="str">
        <f t="shared" si="7"/>
        <v/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35"/>
        <v>0</v>
      </c>
      <c r="T218" s="198" t="str">
        <f t="shared" si="38"/>
        <v/>
      </c>
      <c r="U218" s="198">
        <f t="shared" si="36"/>
        <v>0</v>
      </c>
      <c r="V218" s="201"/>
      <c r="W218" s="197">
        <f t="shared" ref="W218:X218" si="211">C218/100</f>
        <v>0</v>
      </c>
      <c r="X218" s="197">
        <f t="shared" si="211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195.0</v>
      </c>
      <c r="B219" s="192"/>
      <c r="C219" s="192"/>
      <c r="D219" s="192"/>
      <c r="E219" s="192"/>
      <c r="F219" s="192"/>
      <c r="G219" s="192"/>
      <c r="H219" s="193" t="str">
        <f t="shared" si="7"/>
        <v/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35"/>
        <v>0</v>
      </c>
      <c r="T219" s="198" t="str">
        <f t="shared" si="38"/>
        <v/>
      </c>
      <c r="U219" s="198">
        <f t="shared" si="36"/>
        <v>0</v>
      </c>
      <c r="V219" s="201"/>
      <c r="W219" s="197">
        <f t="shared" ref="W219:X219" si="212">C219/100</f>
        <v>0</v>
      </c>
      <c r="X219" s="197">
        <f t="shared" si="212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196.0</v>
      </c>
      <c r="B220" s="192"/>
      <c r="C220" s="192"/>
      <c r="D220" s="192"/>
      <c r="E220" s="192"/>
      <c r="F220" s="192"/>
      <c r="G220" s="192"/>
      <c r="H220" s="193" t="str">
        <f t="shared" si="7"/>
        <v/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35"/>
        <v>0</v>
      </c>
      <c r="T220" s="198" t="str">
        <f t="shared" si="38"/>
        <v/>
      </c>
      <c r="U220" s="198">
        <f t="shared" si="36"/>
        <v>0</v>
      </c>
      <c r="V220" s="201"/>
      <c r="W220" s="197">
        <f t="shared" ref="W220:X220" si="213">C220/100</f>
        <v>0</v>
      </c>
      <c r="X220" s="197">
        <f t="shared" si="213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197.0</v>
      </c>
      <c r="B221" s="192"/>
      <c r="C221" s="192"/>
      <c r="D221" s="192"/>
      <c r="E221" s="192"/>
      <c r="F221" s="192"/>
      <c r="G221" s="192"/>
      <c r="H221" s="193" t="str">
        <f t="shared" si="7"/>
        <v/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35"/>
        <v>0</v>
      </c>
      <c r="T221" s="198" t="str">
        <f t="shared" si="38"/>
        <v/>
      </c>
      <c r="U221" s="198">
        <f t="shared" si="36"/>
        <v>0</v>
      </c>
      <c r="V221" s="201"/>
      <c r="W221" s="197">
        <f t="shared" ref="W221:X221" si="214">C221/100</f>
        <v>0</v>
      </c>
      <c r="X221" s="197">
        <f t="shared" si="214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198.0</v>
      </c>
      <c r="B222" s="192"/>
      <c r="C222" s="192"/>
      <c r="D222" s="192"/>
      <c r="E222" s="192"/>
      <c r="F222" s="192"/>
      <c r="G222" s="192"/>
      <c r="H222" s="193" t="str">
        <f t="shared" si="7"/>
        <v/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35"/>
        <v>0</v>
      </c>
      <c r="T222" s="198" t="str">
        <f t="shared" si="38"/>
        <v/>
      </c>
      <c r="U222" s="198">
        <f t="shared" si="36"/>
        <v>0</v>
      </c>
      <c r="V222" s="201"/>
      <c r="W222" s="197">
        <f t="shared" ref="W222:X222" si="215">C222/100</f>
        <v>0</v>
      </c>
      <c r="X222" s="197">
        <f t="shared" si="215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199.0</v>
      </c>
      <c r="B223" s="192"/>
      <c r="C223" s="192"/>
      <c r="D223" s="192"/>
      <c r="E223" s="192"/>
      <c r="F223" s="192"/>
      <c r="G223" s="192"/>
      <c r="H223" s="193" t="str">
        <f t="shared" si="7"/>
        <v/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35"/>
        <v>0</v>
      </c>
      <c r="T223" s="198" t="str">
        <f t="shared" si="38"/>
        <v/>
      </c>
      <c r="U223" s="198">
        <f t="shared" si="36"/>
        <v>0</v>
      </c>
      <c r="V223" s="201"/>
      <c r="W223" s="197">
        <f t="shared" ref="W223:X223" si="216">C223/100</f>
        <v>0</v>
      </c>
      <c r="X223" s="197">
        <f t="shared" si="216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200.0</v>
      </c>
      <c r="B224" s="192"/>
      <c r="C224" s="192"/>
      <c r="D224" s="192"/>
      <c r="E224" s="192"/>
      <c r="F224" s="192"/>
      <c r="G224" s="192"/>
      <c r="H224" s="193" t="str">
        <f t="shared" si="7"/>
        <v/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35"/>
        <v>0</v>
      </c>
      <c r="T224" s="198" t="str">
        <f t="shared" si="38"/>
        <v/>
      </c>
      <c r="U224" s="198">
        <f t="shared" si="36"/>
        <v>0</v>
      </c>
      <c r="V224" s="201"/>
      <c r="W224" s="197">
        <f t="shared" ref="W224:X224" si="217">C224/100</f>
        <v>0</v>
      </c>
      <c r="X224" s="197">
        <f t="shared" si="217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201.0</v>
      </c>
      <c r="B225" s="192"/>
      <c r="C225" s="192"/>
      <c r="D225" s="192"/>
      <c r="E225" s="192"/>
      <c r="F225" s="192"/>
      <c r="G225" s="192"/>
      <c r="H225" s="193" t="str">
        <f t="shared" si="7"/>
        <v/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35"/>
        <v>0</v>
      </c>
      <c r="T225" s="198" t="str">
        <f t="shared" si="38"/>
        <v/>
      </c>
      <c r="U225" s="198">
        <f t="shared" si="36"/>
        <v>0</v>
      </c>
      <c r="V225" s="201"/>
      <c r="W225" s="197">
        <f t="shared" ref="W225:X225" si="218">C225/100</f>
        <v>0</v>
      </c>
      <c r="X225" s="197">
        <f t="shared" si="218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202.0</v>
      </c>
      <c r="B226" s="192"/>
      <c r="C226" s="192"/>
      <c r="D226" s="192"/>
      <c r="E226" s="192"/>
      <c r="F226" s="192"/>
      <c r="G226" s="192"/>
      <c r="H226" s="193" t="str">
        <f t="shared" si="7"/>
        <v/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35"/>
        <v>0</v>
      </c>
      <c r="T226" s="198" t="str">
        <f t="shared" si="38"/>
        <v/>
      </c>
      <c r="U226" s="198">
        <f t="shared" si="36"/>
        <v>0</v>
      </c>
      <c r="V226" s="201"/>
      <c r="W226" s="197">
        <f t="shared" ref="W226:X226" si="219">C226/100</f>
        <v>0</v>
      </c>
      <c r="X226" s="197">
        <f t="shared" si="219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203.0</v>
      </c>
      <c r="B227" s="192"/>
      <c r="C227" s="192"/>
      <c r="D227" s="192"/>
      <c r="E227" s="192"/>
      <c r="F227" s="192"/>
      <c r="G227" s="192"/>
      <c r="H227" s="193" t="str">
        <f t="shared" si="7"/>
        <v/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35"/>
        <v>0</v>
      </c>
      <c r="T227" s="198" t="str">
        <f t="shared" si="38"/>
        <v/>
      </c>
      <c r="U227" s="198">
        <f t="shared" si="36"/>
        <v>0</v>
      </c>
      <c r="V227" s="201"/>
      <c r="W227" s="197">
        <f t="shared" ref="W227:X227" si="220">C227/100</f>
        <v>0</v>
      </c>
      <c r="X227" s="197">
        <f t="shared" si="220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204.0</v>
      </c>
      <c r="B228" s="192"/>
      <c r="C228" s="192"/>
      <c r="D228" s="192"/>
      <c r="E228" s="192"/>
      <c r="F228" s="192"/>
      <c r="G228" s="192"/>
      <c r="H228" s="193" t="str">
        <f t="shared" si="7"/>
        <v/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35"/>
        <v>0</v>
      </c>
      <c r="T228" s="198" t="str">
        <f t="shared" si="38"/>
        <v/>
      </c>
      <c r="U228" s="198">
        <f t="shared" si="36"/>
        <v>0</v>
      </c>
      <c r="V228" s="201"/>
      <c r="W228" s="197">
        <f t="shared" ref="W228:X228" si="221">C228/100</f>
        <v>0</v>
      </c>
      <c r="X228" s="197">
        <f t="shared" si="221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205.0</v>
      </c>
      <c r="B229" s="192"/>
      <c r="C229" s="192"/>
      <c r="D229" s="192"/>
      <c r="E229" s="192"/>
      <c r="F229" s="192"/>
      <c r="G229" s="192"/>
      <c r="H229" s="193" t="str">
        <f t="shared" si="7"/>
        <v/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35"/>
        <v>0</v>
      </c>
      <c r="T229" s="198" t="str">
        <f t="shared" si="38"/>
        <v/>
      </c>
      <c r="U229" s="198">
        <f t="shared" si="36"/>
        <v>0</v>
      </c>
      <c r="V229" s="201"/>
      <c r="W229" s="197">
        <f t="shared" ref="W229:X229" si="222">C229/100</f>
        <v>0</v>
      </c>
      <c r="X229" s="197">
        <f t="shared" si="222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206.0</v>
      </c>
      <c r="B230" s="192"/>
      <c r="C230" s="192"/>
      <c r="D230" s="192"/>
      <c r="E230" s="192"/>
      <c r="F230" s="192"/>
      <c r="G230" s="192"/>
      <c r="H230" s="193" t="str">
        <f t="shared" si="7"/>
        <v/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35"/>
        <v>0</v>
      </c>
      <c r="T230" s="198" t="str">
        <f t="shared" si="38"/>
        <v/>
      </c>
      <c r="U230" s="198">
        <f t="shared" si="36"/>
        <v>0</v>
      </c>
      <c r="V230" s="201"/>
      <c r="W230" s="197">
        <f t="shared" ref="W230:X230" si="223">C230/100</f>
        <v>0</v>
      </c>
      <c r="X230" s="197">
        <f t="shared" si="223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207.0</v>
      </c>
      <c r="B231" s="192"/>
      <c r="C231" s="192"/>
      <c r="D231" s="192"/>
      <c r="E231" s="192"/>
      <c r="F231" s="192"/>
      <c r="G231" s="192"/>
      <c r="H231" s="193" t="str">
        <f t="shared" si="7"/>
        <v/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35"/>
        <v>0</v>
      </c>
      <c r="T231" s="198" t="str">
        <f t="shared" si="38"/>
        <v/>
      </c>
      <c r="U231" s="198">
        <f t="shared" si="36"/>
        <v>0</v>
      </c>
      <c r="V231" s="201"/>
      <c r="W231" s="197">
        <f t="shared" ref="W231:X231" si="224">C231/100</f>
        <v>0</v>
      </c>
      <c r="X231" s="197">
        <f t="shared" si="224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208.0</v>
      </c>
      <c r="B232" s="192"/>
      <c r="C232" s="192"/>
      <c r="D232" s="192"/>
      <c r="E232" s="192"/>
      <c r="F232" s="192"/>
      <c r="G232" s="192"/>
      <c r="H232" s="193" t="str">
        <f t="shared" si="7"/>
        <v/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35"/>
        <v>0</v>
      </c>
      <c r="T232" s="198" t="str">
        <f t="shared" si="38"/>
        <v/>
      </c>
      <c r="U232" s="198">
        <f t="shared" si="36"/>
        <v>0</v>
      </c>
      <c r="V232" s="201"/>
      <c r="W232" s="197">
        <f t="shared" ref="W232:X232" si="225">C232/100</f>
        <v>0</v>
      </c>
      <c r="X232" s="197">
        <f t="shared" si="225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209.0</v>
      </c>
      <c r="B233" s="192"/>
      <c r="C233" s="192"/>
      <c r="D233" s="192"/>
      <c r="E233" s="192"/>
      <c r="F233" s="192"/>
      <c r="G233" s="192"/>
      <c r="H233" s="193" t="str">
        <f t="shared" si="7"/>
        <v/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35"/>
        <v>0</v>
      </c>
      <c r="T233" s="198" t="str">
        <f t="shared" si="38"/>
        <v/>
      </c>
      <c r="U233" s="198">
        <f t="shared" si="36"/>
        <v>0</v>
      </c>
      <c r="V233" s="201"/>
      <c r="W233" s="197">
        <f t="shared" ref="W233:X233" si="226">C233/100</f>
        <v>0</v>
      </c>
      <c r="X233" s="197">
        <f t="shared" si="226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210.0</v>
      </c>
      <c r="B234" s="192"/>
      <c r="C234" s="192"/>
      <c r="D234" s="192"/>
      <c r="E234" s="192"/>
      <c r="F234" s="192"/>
      <c r="G234" s="192"/>
      <c r="H234" s="193" t="str">
        <f t="shared" si="7"/>
        <v/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35"/>
        <v>0</v>
      </c>
      <c r="T234" s="198" t="str">
        <f t="shared" si="38"/>
        <v/>
      </c>
      <c r="U234" s="198">
        <f t="shared" si="36"/>
        <v>0</v>
      </c>
      <c r="V234" s="201"/>
      <c r="W234" s="197">
        <f t="shared" ref="W234:X234" si="227">C234/100</f>
        <v>0</v>
      </c>
      <c r="X234" s="197">
        <f t="shared" si="227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211.0</v>
      </c>
      <c r="B235" s="192"/>
      <c r="C235" s="192"/>
      <c r="D235" s="192"/>
      <c r="E235" s="192"/>
      <c r="F235" s="192"/>
      <c r="G235" s="192"/>
      <c r="H235" s="193" t="str">
        <f t="shared" si="7"/>
        <v/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35"/>
        <v>0</v>
      </c>
      <c r="T235" s="198" t="str">
        <f t="shared" si="38"/>
        <v/>
      </c>
      <c r="U235" s="198">
        <f t="shared" si="36"/>
        <v>0</v>
      </c>
      <c r="V235" s="201"/>
      <c r="W235" s="197">
        <f t="shared" ref="W235:X235" si="228">C235/100</f>
        <v>0</v>
      </c>
      <c r="X235" s="197">
        <f t="shared" si="228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212.0</v>
      </c>
      <c r="B236" s="192"/>
      <c r="C236" s="192"/>
      <c r="D236" s="192"/>
      <c r="E236" s="192"/>
      <c r="F236" s="192"/>
      <c r="G236" s="192"/>
      <c r="H236" s="193" t="str">
        <f t="shared" si="7"/>
        <v/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35"/>
        <v>0</v>
      </c>
      <c r="T236" s="198" t="str">
        <f t="shared" si="38"/>
        <v/>
      </c>
      <c r="U236" s="198">
        <f t="shared" si="36"/>
        <v>0</v>
      </c>
      <c r="V236" s="201"/>
      <c r="W236" s="197">
        <f t="shared" ref="W236:X236" si="229">C236/100</f>
        <v>0</v>
      </c>
      <c r="X236" s="197">
        <f t="shared" si="229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213.0</v>
      </c>
      <c r="B237" s="192"/>
      <c r="C237" s="192"/>
      <c r="D237" s="192"/>
      <c r="E237" s="192"/>
      <c r="F237" s="192"/>
      <c r="G237" s="192"/>
      <c r="H237" s="193" t="str">
        <f t="shared" si="7"/>
        <v/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35"/>
        <v>0</v>
      </c>
      <c r="T237" s="198" t="str">
        <f t="shared" si="38"/>
        <v/>
      </c>
      <c r="U237" s="198">
        <f t="shared" si="36"/>
        <v>0</v>
      </c>
      <c r="V237" s="201"/>
      <c r="W237" s="197">
        <f t="shared" ref="W237:X237" si="230">C237/100</f>
        <v>0</v>
      </c>
      <c r="X237" s="197">
        <f t="shared" si="230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214.0</v>
      </c>
      <c r="B238" s="192"/>
      <c r="C238" s="192"/>
      <c r="D238" s="192"/>
      <c r="E238" s="192"/>
      <c r="F238" s="192"/>
      <c r="G238" s="192"/>
      <c r="H238" s="193" t="str">
        <f t="shared" si="7"/>
        <v/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35"/>
        <v>0</v>
      </c>
      <c r="T238" s="198" t="str">
        <f t="shared" si="38"/>
        <v/>
      </c>
      <c r="U238" s="198">
        <f t="shared" si="36"/>
        <v>0</v>
      </c>
      <c r="V238" s="201"/>
      <c r="W238" s="197">
        <f t="shared" ref="W238:X238" si="231">C238/100</f>
        <v>0</v>
      </c>
      <c r="X238" s="197">
        <f t="shared" si="231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215.0</v>
      </c>
      <c r="B239" s="192"/>
      <c r="C239" s="192"/>
      <c r="D239" s="192"/>
      <c r="E239" s="192"/>
      <c r="F239" s="192"/>
      <c r="G239" s="192"/>
      <c r="H239" s="193" t="str">
        <f t="shared" si="7"/>
        <v/>
      </c>
      <c r="I239" s="192"/>
      <c r="J239" s="194">
        <f t="shared" si="8"/>
        <v>0</v>
      </c>
      <c r="K239" s="139"/>
      <c r="L239" s="195"/>
      <c r="M239" s="196"/>
      <c r="N239" s="196"/>
      <c r="O239" s="139"/>
      <c r="P239" s="139"/>
      <c r="Q239" s="194"/>
      <c r="R239" s="141"/>
      <c r="S239" s="197">
        <f t="shared" si="35"/>
        <v>0</v>
      </c>
      <c r="T239" s="198" t="str">
        <f t="shared" si="38"/>
        <v/>
      </c>
      <c r="U239" s="198">
        <f t="shared" si="36"/>
        <v>0</v>
      </c>
      <c r="V239" s="201"/>
      <c r="W239" s="197">
        <f t="shared" ref="W239:X239" si="232">C239/100</f>
        <v>0</v>
      </c>
      <c r="X239" s="197">
        <f t="shared" si="232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216.0</v>
      </c>
      <c r="B240" s="192"/>
      <c r="C240" s="192"/>
      <c r="D240" s="192"/>
      <c r="E240" s="192"/>
      <c r="F240" s="192"/>
      <c r="G240" s="192"/>
      <c r="H240" s="193" t="str">
        <f t="shared" si="7"/>
        <v/>
      </c>
      <c r="I240" s="192"/>
      <c r="J240" s="194">
        <f t="shared" si="8"/>
        <v>0</v>
      </c>
      <c r="K240" s="139"/>
      <c r="L240" s="195"/>
      <c r="M240" s="196"/>
      <c r="N240" s="196"/>
      <c r="O240" s="139"/>
      <c r="P240" s="139"/>
      <c r="Q240" s="194"/>
      <c r="R240" s="141"/>
      <c r="S240" s="197">
        <f t="shared" si="35"/>
        <v>0</v>
      </c>
      <c r="T240" s="198" t="str">
        <f t="shared" si="38"/>
        <v/>
      </c>
      <c r="U240" s="198">
        <f t="shared" si="36"/>
        <v>0</v>
      </c>
      <c r="V240" s="201"/>
      <c r="W240" s="197">
        <f t="shared" ref="W240:X240" si="233">C240/100</f>
        <v>0</v>
      </c>
      <c r="X240" s="197">
        <f t="shared" si="233"/>
        <v>0</v>
      </c>
      <c r="Y240" s="197">
        <f t="shared" si="14"/>
        <v>0</v>
      </c>
      <c r="Z240" s="200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217.0</v>
      </c>
      <c r="B241" s="192"/>
      <c r="C241" s="192"/>
      <c r="D241" s="192"/>
      <c r="E241" s="192"/>
      <c r="F241" s="192"/>
      <c r="G241" s="192"/>
      <c r="H241" s="193" t="str">
        <f t="shared" si="7"/>
        <v/>
      </c>
      <c r="I241" s="192"/>
      <c r="J241" s="194">
        <f t="shared" si="8"/>
        <v>0</v>
      </c>
      <c r="K241" s="139"/>
      <c r="L241" s="195"/>
      <c r="M241" s="196"/>
      <c r="N241" s="196"/>
      <c r="O241" s="139"/>
      <c r="P241" s="139"/>
      <c r="Q241" s="194"/>
      <c r="R241" s="141"/>
      <c r="S241" s="197">
        <f t="shared" si="35"/>
        <v>0</v>
      </c>
      <c r="T241" s="198" t="str">
        <f t="shared" si="38"/>
        <v/>
      </c>
      <c r="U241" s="198">
        <f t="shared" si="36"/>
        <v>0</v>
      </c>
      <c r="V241" s="201"/>
      <c r="W241" s="197">
        <f t="shared" ref="W241:X241" si="234">C241/100</f>
        <v>0</v>
      </c>
      <c r="X241" s="197">
        <f t="shared" si="234"/>
        <v>0</v>
      </c>
      <c r="Y241" s="197">
        <f t="shared" si="14"/>
        <v>0</v>
      </c>
      <c r="Z241" s="200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customHeight="1">
      <c r="A242" s="160"/>
      <c r="B242" s="177"/>
      <c r="C242" s="177"/>
      <c r="D242" s="177"/>
      <c r="E242" s="177"/>
      <c r="F242" s="177"/>
      <c r="G242" s="177"/>
      <c r="H242" s="180"/>
      <c r="I242" s="160"/>
      <c r="J242" s="202">
        <f>+Q305</f>
        <v>120.4</v>
      </c>
      <c r="K242" s="139"/>
      <c r="L242" s="139"/>
      <c r="M242" s="139"/>
      <c r="N242" s="139"/>
      <c r="O242" s="139"/>
      <c r="P242" s="139"/>
      <c r="Q242" s="139"/>
      <c r="R242" s="203"/>
      <c r="S242" s="197">
        <f t="shared" si="35"/>
        <v>0</v>
      </c>
      <c r="T242" s="198" t="str">
        <f t="shared" si="38"/>
        <v/>
      </c>
      <c r="U242" s="198">
        <f t="shared" si="36"/>
        <v>0</v>
      </c>
      <c r="V242" s="201"/>
      <c r="W242" s="197">
        <f t="shared" ref="W242:X242" si="235">C242/100</f>
        <v>0</v>
      </c>
      <c r="X242" s="197">
        <f t="shared" si="235"/>
        <v>0</v>
      </c>
      <c r="Y242" s="197">
        <f t="shared" si="14"/>
        <v>0</v>
      </c>
      <c r="Z242" s="200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customHeight="1">
      <c r="A243" s="160"/>
      <c r="B243" s="204"/>
      <c r="C243" s="204"/>
      <c r="D243" s="204"/>
      <c r="E243" s="204"/>
      <c r="F243" s="204"/>
      <c r="G243" s="204"/>
      <c r="H243" s="205"/>
      <c r="I243" s="206">
        <f>SUM(I32:I241)</f>
        <v>43</v>
      </c>
      <c r="J243" s="207">
        <f>SUM(J32:J242)</f>
        <v>818.289475</v>
      </c>
      <c r="K243" s="208"/>
      <c r="L243" s="208"/>
      <c r="M243" s="208"/>
      <c r="N243" s="208"/>
      <c r="O243" s="208"/>
      <c r="P243" s="208"/>
      <c r="Q243" s="208"/>
      <c r="R243" s="141"/>
      <c r="S243" s="208">
        <f>+SUM(S32:S242)</f>
        <v>498.97</v>
      </c>
      <c r="T243" s="208">
        <f t="shared" ref="T243:U243" si="236">SUM(T32:T242)</f>
        <v>48</v>
      </c>
      <c r="U243" s="208" t="str">
        <f t="shared" si="236"/>
        <v>#VALUE!</v>
      </c>
      <c r="V243" s="208"/>
      <c r="W243" s="208"/>
      <c r="X243" s="208"/>
      <c r="Y243" s="208"/>
      <c r="Z243" s="209" t="str">
        <f>SUM(Z32:Z242)</f>
        <v>#VALUE!</v>
      </c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208"/>
      <c r="AP243" s="208"/>
      <c r="AQ243" s="208"/>
      <c r="AR243" s="208"/>
      <c r="AS243" s="208"/>
      <c r="AT243" s="208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01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139" t="s">
        <v>48</v>
      </c>
      <c r="U245" s="139" t="s">
        <v>59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210"/>
      <c r="U246" s="211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9.25" customHeight="1">
      <c r="A247" s="139" t="s">
        <v>32</v>
      </c>
      <c r="B247" s="139"/>
      <c r="C247" s="139"/>
      <c r="D247" s="139" t="s">
        <v>33</v>
      </c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 t="s">
        <v>34</v>
      </c>
      <c r="T247" s="212">
        <f>+J243</f>
        <v>818.289475</v>
      </c>
      <c r="U247" s="211" t="str">
        <f>+U243</f>
        <v>#VALUE!</v>
      </c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03"/>
      <c r="S248" s="139"/>
      <c r="T248" s="213">
        <f>+I243</f>
        <v>43</v>
      </c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39.0" customHeight="1">
      <c r="A249" s="177"/>
      <c r="B249" s="160" t="s">
        <v>12</v>
      </c>
      <c r="C249" s="178" t="s">
        <v>60</v>
      </c>
      <c r="D249" s="52"/>
      <c r="E249" s="53"/>
      <c r="F249" s="179"/>
      <c r="G249" s="179"/>
      <c r="H249" s="180" t="s">
        <v>14</v>
      </c>
      <c r="I249" s="160" t="s">
        <v>15</v>
      </c>
      <c r="J249" s="160" t="s">
        <v>16</v>
      </c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1.0</v>
      </c>
      <c r="B250" s="214"/>
      <c r="C250" s="214"/>
      <c r="D250" s="214"/>
      <c r="E250" s="214"/>
      <c r="F250" s="214">
        <f t="shared" ref="F250:F263" si="237">1-VALUE(IF(RIGHT(B250, 1)="%", RIGHT(B250, 3), 0))</f>
        <v>1</v>
      </c>
      <c r="G250" s="214">
        <f t="shared" ref="G250:G263" si="238">+Q250*C250/100*D250/100*E250/100</f>
        <v>0</v>
      </c>
      <c r="H250" s="215">
        <f t="shared" ref="H250:H263" si="239">IF(F250=0, G250, F250*G250)</f>
        <v>0</v>
      </c>
      <c r="I250" s="214"/>
      <c r="J250" s="216"/>
      <c r="K250" s="139"/>
      <c r="L250" s="177">
        <f t="shared" ref="L250:L258" si="240">D250*25.4/1000</f>
        <v>0</v>
      </c>
      <c r="M250" s="160" t="str">
        <f t="shared" ref="M250:M254" si="241">+I250</f>
        <v/>
      </c>
      <c r="N250" s="160">
        <f t="shared" ref="N250:N254" si="242">M250*L250</f>
        <v>0</v>
      </c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2.0</v>
      </c>
      <c r="B251" s="214"/>
      <c r="C251" s="214"/>
      <c r="D251" s="214"/>
      <c r="E251" s="214"/>
      <c r="F251" s="214">
        <f t="shared" si="237"/>
        <v>1</v>
      </c>
      <c r="G251" s="214">
        <f t="shared" si="238"/>
        <v>0</v>
      </c>
      <c r="H251" s="215">
        <f t="shared" si="239"/>
        <v>0</v>
      </c>
      <c r="I251" s="214"/>
      <c r="J251" s="216">
        <f t="shared" ref="J251:J263" si="243">+I251*H251</f>
        <v>0</v>
      </c>
      <c r="K251" s="139"/>
      <c r="L251" s="177">
        <f t="shared" si="240"/>
        <v>0</v>
      </c>
      <c r="M251" s="160" t="str">
        <f t="shared" si="241"/>
        <v/>
      </c>
      <c r="N251" s="160">
        <f t="shared" si="242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3.0</v>
      </c>
      <c r="B252" s="217"/>
      <c r="C252" s="217"/>
      <c r="D252" s="217"/>
      <c r="E252" s="217"/>
      <c r="F252" s="217">
        <f t="shared" si="237"/>
        <v>1</v>
      </c>
      <c r="G252" s="217">
        <f t="shared" si="238"/>
        <v>0</v>
      </c>
      <c r="H252" s="218">
        <f t="shared" si="239"/>
        <v>0</v>
      </c>
      <c r="I252" s="217"/>
      <c r="J252" s="194">
        <f t="shared" si="243"/>
        <v>0</v>
      </c>
      <c r="K252" s="139"/>
      <c r="L252" s="177">
        <f t="shared" si="240"/>
        <v>0</v>
      </c>
      <c r="M252" s="160" t="str">
        <f t="shared" si="241"/>
        <v/>
      </c>
      <c r="N252" s="160">
        <f t="shared" si="242"/>
        <v>0</v>
      </c>
      <c r="O252" s="139"/>
      <c r="P252" s="139"/>
      <c r="Q252" s="139"/>
      <c r="R252" s="13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4.0</v>
      </c>
      <c r="B253" s="217"/>
      <c r="C253" s="217"/>
      <c r="D253" s="217"/>
      <c r="E253" s="217"/>
      <c r="F253" s="217">
        <f t="shared" si="237"/>
        <v>1</v>
      </c>
      <c r="G253" s="217">
        <f t="shared" si="238"/>
        <v>0</v>
      </c>
      <c r="H253" s="218">
        <f t="shared" si="239"/>
        <v>0</v>
      </c>
      <c r="I253" s="217"/>
      <c r="J253" s="194">
        <f t="shared" si="243"/>
        <v>0</v>
      </c>
      <c r="K253" s="139"/>
      <c r="L253" s="177">
        <f t="shared" si="240"/>
        <v>0</v>
      </c>
      <c r="M253" s="160" t="str">
        <f t="shared" si="241"/>
        <v/>
      </c>
      <c r="N253" s="160">
        <f t="shared" si="242"/>
        <v>0</v>
      </c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5.0</v>
      </c>
      <c r="B254" s="217"/>
      <c r="C254" s="217"/>
      <c r="D254" s="217"/>
      <c r="E254" s="217"/>
      <c r="F254" s="217">
        <f t="shared" si="237"/>
        <v>1</v>
      </c>
      <c r="G254" s="217">
        <f t="shared" si="238"/>
        <v>0</v>
      </c>
      <c r="H254" s="218">
        <f t="shared" si="239"/>
        <v>0</v>
      </c>
      <c r="I254" s="217"/>
      <c r="J254" s="194">
        <f t="shared" si="243"/>
        <v>0</v>
      </c>
      <c r="K254" s="139"/>
      <c r="L254" s="177">
        <f t="shared" si="240"/>
        <v>0</v>
      </c>
      <c r="M254" s="160" t="str">
        <f t="shared" si="241"/>
        <v/>
      </c>
      <c r="N254" s="160">
        <f t="shared" si="242"/>
        <v>0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6.0</v>
      </c>
      <c r="B255" s="217"/>
      <c r="C255" s="217"/>
      <c r="D255" s="217"/>
      <c r="E255" s="217"/>
      <c r="F255" s="217">
        <f t="shared" si="237"/>
        <v>1</v>
      </c>
      <c r="G255" s="217">
        <f t="shared" si="238"/>
        <v>0</v>
      </c>
      <c r="H255" s="218">
        <f t="shared" si="239"/>
        <v>0</v>
      </c>
      <c r="I255" s="217"/>
      <c r="J255" s="194">
        <f t="shared" si="243"/>
        <v>0</v>
      </c>
      <c r="K255" s="139"/>
      <c r="L255" s="139">
        <f t="shared" si="240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7.0</v>
      </c>
      <c r="B256" s="217"/>
      <c r="C256" s="217"/>
      <c r="D256" s="217"/>
      <c r="E256" s="217"/>
      <c r="F256" s="217">
        <f t="shared" si="237"/>
        <v>1</v>
      </c>
      <c r="G256" s="217">
        <f t="shared" si="238"/>
        <v>0</v>
      </c>
      <c r="H256" s="218">
        <f t="shared" si="239"/>
        <v>0</v>
      </c>
      <c r="I256" s="217"/>
      <c r="J256" s="194">
        <f t="shared" si="243"/>
        <v>0</v>
      </c>
      <c r="K256" s="139"/>
      <c r="L256" s="139">
        <f t="shared" si="240"/>
        <v>0</v>
      </c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8.0</v>
      </c>
      <c r="B257" s="217"/>
      <c r="C257" s="217"/>
      <c r="D257" s="217"/>
      <c r="E257" s="217"/>
      <c r="F257" s="217">
        <f t="shared" si="237"/>
        <v>1</v>
      </c>
      <c r="G257" s="217">
        <f t="shared" si="238"/>
        <v>0</v>
      </c>
      <c r="H257" s="218">
        <f t="shared" si="239"/>
        <v>0</v>
      </c>
      <c r="I257" s="217"/>
      <c r="J257" s="194">
        <f t="shared" si="243"/>
        <v>0</v>
      </c>
      <c r="K257" s="139"/>
      <c r="L257" s="139">
        <f t="shared" si="240"/>
        <v>0</v>
      </c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9.0</v>
      </c>
      <c r="B258" s="217"/>
      <c r="C258" s="217"/>
      <c r="D258" s="217"/>
      <c r="E258" s="217"/>
      <c r="F258" s="217">
        <f t="shared" si="237"/>
        <v>1</v>
      </c>
      <c r="G258" s="217">
        <f t="shared" si="238"/>
        <v>0</v>
      </c>
      <c r="H258" s="218">
        <f t="shared" si="239"/>
        <v>0</v>
      </c>
      <c r="I258" s="217"/>
      <c r="J258" s="194">
        <f t="shared" si="243"/>
        <v>0</v>
      </c>
      <c r="K258" s="139"/>
      <c r="L258" s="139">
        <f t="shared" si="240"/>
        <v>0</v>
      </c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10.0</v>
      </c>
      <c r="B259" s="192"/>
      <c r="C259" s="192"/>
      <c r="D259" s="192"/>
      <c r="E259" s="192"/>
      <c r="F259" s="192">
        <f t="shared" si="237"/>
        <v>1</v>
      </c>
      <c r="G259" s="192">
        <f t="shared" si="238"/>
        <v>0</v>
      </c>
      <c r="H259" s="193">
        <f t="shared" si="239"/>
        <v>0</v>
      </c>
      <c r="I259" s="192"/>
      <c r="J259" s="194">
        <f t="shared" si="243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11.0</v>
      </c>
      <c r="B260" s="192"/>
      <c r="C260" s="192"/>
      <c r="D260" s="192"/>
      <c r="E260" s="192"/>
      <c r="F260" s="192">
        <f t="shared" si="237"/>
        <v>1</v>
      </c>
      <c r="G260" s="192">
        <f t="shared" si="238"/>
        <v>0</v>
      </c>
      <c r="H260" s="193">
        <f t="shared" si="239"/>
        <v>0</v>
      </c>
      <c r="I260" s="192"/>
      <c r="J260" s="194">
        <f t="shared" si="243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12.0</v>
      </c>
      <c r="B261" s="192"/>
      <c r="C261" s="192"/>
      <c r="D261" s="192"/>
      <c r="E261" s="192"/>
      <c r="F261" s="192">
        <f t="shared" si="237"/>
        <v>1</v>
      </c>
      <c r="G261" s="192">
        <f t="shared" si="238"/>
        <v>0</v>
      </c>
      <c r="H261" s="193">
        <f t="shared" si="239"/>
        <v>0</v>
      </c>
      <c r="I261" s="192"/>
      <c r="J261" s="194">
        <f t="shared" si="243"/>
        <v>0</v>
      </c>
      <c r="K261" s="139"/>
      <c r="L261" s="139"/>
      <c r="M261" s="220"/>
      <c r="N261" s="22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13.0</v>
      </c>
      <c r="B262" s="192"/>
      <c r="C262" s="192"/>
      <c r="D262" s="192"/>
      <c r="E262" s="192"/>
      <c r="F262" s="192">
        <f t="shared" si="237"/>
        <v>1</v>
      </c>
      <c r="G262" s="192">
        <f t="shared" si="238"/>
        <v>0</v>
      </c>
      <c r="H262" s="193">
        <f t="shared" si="239"/>
        <v>0</v>
      </c>
      <c r="I262" s="192"/>
      <c r="J262" s="194">
        <f t="shared" si="243"/>
        <v>0</v>
      </c>
      <c r="K262" s="139"/>
      <c r="L262" s="139"/>
      <c r="M262" s="220"/>
      <c r="N262" s="220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14.0</v>
      </c>
      <c r="B263" s="192"/>
      <c r="C263" s="192"/>
      <c r="D263" s="192"/>
      <c r="E263" s="192"/>
      <c r="F263" s="192">
        <f t="shared" si="237"/>
        <v>1</v>
      </c>
      <c r="G263" s="192">
        <f t="shared" si="238"/>
        <v>0</v>
      </c>
      <c r="H263" s="193">
        <f t="shared" si="239"/>
        <v>0</v>
      </c>
      <c r="I263" s="192"/>
      <c r="J263" s="194">
        <f t="shared" si="243"/>
        <v>0</v>
      </c>
      <c r="K263" s="139"/>
      <c r="L263" s="139"/>
      <c r="M263" s="220"/>
      <c r="N263" s="220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customHeight="1">
      <c r="A264" s="160"/>
      <c r="B264" s="195"/>
      <c r="C264" s="195"/>
      <c r="D264" s="195"/>
      <c r="E264" s="195"/>
      <c r="F264" s="195"/>
      <c r="G264" s="195"/>
      <c r="H264" s="221" t="s">
        <v>38</v>
      </c>
      <c r="I264" s="195"/>
      <c r="J264" s="222">
        <f>SUM(J250:J263)</f>
        <v>0</v>
      </c>
      <c r="K264" s="139"/>
      <c r="L264" s="139"/>
      <c r="M264" s="139"/>
      <c r="N264" s="139"/>
      <c r="O264" s="139"/>
      <c r="P264" s="139"/>
      <c r="Q264" s="139"/>
      <c r="R264" s="141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74"/>
      <c r="B265" s="144"/>
      <c r="C265" s="144"/>
      <c r="D265" s="144"/>
      <c r="E265" s="144"/>
      <c r="F265" s="144"/>
      <c r="G265" s="144"/>
      <c r="H265" s="145"/>
      <c r="I265" s="144"/>
      <c r="J265" s="175"/>
      <c r="K265" s="139"/>
      <c r="L265" s="139"/>
      <c r="M265" s="139"/>
      <c r="N265" s="139"/>
      <c r="O265" s="139"/>
      <c r="P265" s="139"/>
      <c r="Q265" s="139"/>
      <c r="R265" s="141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 t="s">
        <v>39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223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42.0" customHeight="1">
      <c r="A270" s="177"/>
      <c r="B270" s="160" t="s">
        <v>12</v>
      </c>
      <c r="C270" s="178" t="s">
        <v>61</v>
      </c>
      <c r="D270" s="52"/>
      <c r="E270" s="53"/>
      <c r="F270" s="224"/>
      <c r="G270" s="224"/>
      <c r="H270" s="180" t="s">
        <v>14</v>
      </c>
      <c r="I270" s="225" t="s">
        <v>15</v>
      </c>
      <c r="J270" s="160" t="s">
        <v>16</v>
      </c>
      <c r="K270" s="139"/>
      <c r="L270" s="139"/>
      <c r="M270" s="139"/>
      <c r="N270" s="139"/>
      <c r="O270" s="139"/>
      <c r="P270" s="139"/>
      <c r="Q270" s="139"/>
      <c r="R270" s="223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1.0</v>
      </c>
      <c r="B271" s="182" t="s">
        <v>55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ref="J271:J303" si="244">+I271*H271</f>
        <v>29</v>
      </c>
      <c r="K271" s="177"/>
      <c r="L271" s="177"/>
      <c r="M271" s="177"/>
      <c r="N271" s="177"/>
      <c r="O271" s="177"/>
      <c r="P271" s="177"/>
      <c r="Q271" s="227"/>
      <c r="R271" s="223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2.0</v>
      </c>
      <c r="B272" s="192" t="s">
        <v>55</v>
      </c>
      <c r="C272" s="198"/>
      <c r="D272" s="198"/>
      <c r="E272" s="198"/>
      <c r="F272" s="198"/>
      <c r="G272" s="198"/>
      <c r="H272" s="226">
        <v>18.0</v>
      </c>
      <c r="I272" s="198">
        <v>1.0</v>
      </c>
      <c r="J272" s="194">
        <f t="shared" si="244"/>
        <v>18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3.0</v>
      </c>
      <c r="B273" s="182" t="s">
        <v>55</v>
      </c>
      <c r="C273" s="198"/>
      <c r="D273" s="198"/>
      <c r="E273" s="198"/>
      <c r="F273" s="198"/>
      <c r="G273" s="198"/>
      <c r="H273" s="226">
        <v>26.0</v>
      </c>
      <c r="I273" s="198">
        <v>1.0</v>
      </c>
      <c r="J273" s="194">
        <f t="shared" si="244"/>
        <v>26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4.0</v>
      </c>
      <c r="B274" s="192" t="s">
        <v>55</v>
      </c>
      <c r="C274" s="198"/>
      <c r="D274" s="198"/>
      <c r="E274" s="198"/>
      <c r="F274" s="198"/>
      <c r="G274" s="198"/>
      <c r="H274" s="226">
        <v>21.0</v>
      </c>
      <c r="I274" s="198">
        <v>1.0</v>
      </c>
      <c r="J274" s="194">
        <f t="shared" si="244"/>
        <v>21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5.0</v>
      </c>
      <c r="B275" s="182" t="s">
        <v>68</v>
      </c>
      <c r="C275" s="198"/>
      <c r="D275" s="198"/>
      <c r="E275" s="198"/>
      <c r="F275" s="198"/>
      <c r="G275" s="198"/>
      <c r="H275" s="226">
        <v>25.0</v>
      </c>
      <c r="I275" s="198">
        <v>1.0</v>
      </c>
      <c r="J275" s="194">
        <f t="shared" si="244"/>
        <v>25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6.0</v>
      </c>
      <c r="B276" s="192" t="s">
        <v>68</v>
      </c>
      <c r="C276" s="198"/>
      <c r="D276" s="198"/>
      <c r="E276" s="198"/>
      <c r="F276" s="198"/>
      <c r="G276" s="198"/>
      <c r="H276" s="226">
        <v>26.0</v>
      </c>
      <c r="I276" s="198">
        <v>1.0</v>
      </c>
      <c r="J276" s="194">
        <f t="shared" si="244"/>
        <v>26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7.0</v>
      </c>
      <c r="B277" s="182" t="s">
        <v>91</v>
      </c>
      <c r="C277" s="198"/>
      <c r="D277" s="198"/>
      <c r="E277" s="198"/>
      <c r="F277" s="198"/>
      <c r="G277" s="198"/>
      <c r="H277" s="226">
        <v>89.0</v>
      </c>
      <c r="I277" s="198">
        <v>1.0</v>
      </c>
      <c r="J277" s="194">
        <f t="shared" si="244"/>
        <v>89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8.0</v>
      </c>
      <c r="B278" s="192" t="s">
        <v>91</v>
      </c>
      <c r="C278" s="198"/>
      <c r="D278" s="198"/>
      <c r="E278" s="198"/>
      <c r="F278" s="198"/>
      <c r="G278" s="198"/>
      <c r="H278" s="226">
        <v>67.0</v>
      </c>
      <c r="I278" s="198">
        <v>1.0</v>
      </c>
      <c r="J278" s="194">
        <f t="shared" si="244"/>
        <v>67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11.0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44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12.0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44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13.0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44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14.0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44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15.0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44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16.0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44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17.0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44"/>
        <v>0</v>
      </c>
      <c r="K285" s="177"/>
      <c r="L285" s="177"/>
      <c r="M285" s="177"/>
      <c r="N285" s="177"/>
      <c r="O285" s="177"/>
      <c r="P285" s="177"/>
      <c r="Q285" s="227"/>
      <c r="R285" s="223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18.0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44"/>
        <v>0</v>
      </c>
      <c r="K286" s="177"/>
      <c r="L286" s="177"/>
      <c r="M286" s="177"/>
      <c r="N286" s="177"/>
      <c r="O286" s="177"/>
      <c r="P286" s="177"/>
      <c r="Q286" s="227"/>
      <c r="R286" s="223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19.0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44"/>
        <v>0</v>
      </c>
      <c r="K287" s="177"/>
      <c r="L287" s="177"/>
      <c r="M287" s="177"/>
      <c r="N287" s="177"/>
      <c r="O287" s="177"/>
      <c r="P287" s="177"/>
      <c r="Q287" s="227"/>
      <c r="R287" s="140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20.0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44"/>
        <v>0</v>
      </c>
      <c r="K288" s="177"/>
      <c r="L288" s="177"/>
      <c r="M288" s="177"/>
      <c r="N288" s="177"/>
      <c r="O288" s="177"/>
      <c r="P288" s="177"/>
      <c r="Q288" s="227"/>
      <c r="R288" s="223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21.0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44"/>
        <v>0</v>
      </c>
      <c r="K289" s="177"/>
      <c r="L289" s="177"/>
      <c r="M289" s="177"/>
      <c r="N289" s="177"/>
      <c r="O289" s="177"/>
      <c r="P289" s="177"/>
      <c r="Q289" s="227"/>
      <c r="R289" s="223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22.0</v>
      </c>
      <c r="B290" s="228"/>
      <c r="C290" s="198"/>
      <c r="D290" s="198"/>
      <c r="E290" s="198"/>
      <c r="F290" s="198"/>
      <c r="G290" s="198"/>
      <c r="H290" s="226"/>
      <c r="I290" s="198"/>
      <c r="J290" s="194">
        <f t="shared" si="24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23.0</v>
      </c>
      <c r="B291" s="228"/>
      <c r="C291" s="198"/>
      <c r="D291" s="198"/>
      <c r="E291" s="198"/>
      <c r="F291" s="198"/>
      <c r="G291" s="198"/>
      <c r="H291" s="226"/>
      <c r="I291" s="198"/>
      <c r="J291" s="194">
        <f t="shared" si="244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24.0</v>
      </c>
      <c r="B292" s="228"/>
      <c r="C292" s="198"/>
      <c r="D292" s="198"/>
      <c r="E292" s="198"/>
      <c r="F292" s="198"/>
      <c r="G292" s="198"/>
      <c r="H292" s="226"/>
      <c r="I292" s="198"/>
      <c r="J292" s="194">
        <f t="shared" si="244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25.0</v>
      </c>
      <c r="B293" s="228"/>
      <c r="C293" s="198"/>
      <c r="D293" s="198"/>
      <c r="E293" s="198"/>
      <c r="F293" s="198"/>
      <c r="G293" s="198"/>
      <c r="H293" s="226"/>
      <c r="I293" s="198"/>
      <c r="J293" s="194">
        <f t="shared" si="244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26.0</v>
      </c>
      <c r="B294" s="228"/>
      <c r="C294" s="198"/>
      <c r="D294" s="198"/>
      <c r="E294" s="198"/>
      <c r="F294" s="198"/>
      <c r="G294" s="198"/>
      <c r="H294" s="226"/>
      <c r="I294" s="198"/>
      <c r="J294" s="194">
        <f t="shared" si="244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27.0</v>
      </c>
      <c r="B295" s="228"/>
      <c r="C295" s="198"/>
      <c r="D295" s="198"/>
      <c r="E295" s="198"/>
      <c r="F295" s="198"/>
      <c r="G295" s="198"/>
      <c r="H295" s="198"/>
      <c r="I295" s="198"/>
      <c r="J295" s="194">
        <f t="shared" si="244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28.0</v>
      </c>
      <c r="B296" s="228"/>
      <c r="C296" s="198"/>
      <c r="D296" s="198"/>
      <c r="E296" s="198"/>
      <c r="F296" s="198"/>
      <c r="G296" s="198"/>
      <c r="H296" s="198"/>
      <c r="I296" s="198"/>
      <c r="J296" s="194">
        <f t="shared" si="244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29.0</v>
      </c>
      <c r="B297" s="229"/>
      <c r="C297" s="198"/>
      <c r="D297" s="198"/>
      <c r="E297" s="198"/>
      <c r="F297" s="198"/>
      <c r="G297" s="198"/>
      <c r="H297" s="198"/>
      <c r="I297" s="198"/>
      <c r="J297" s="194">
        <f t="shared" si="244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30.0</v>
      </c>
      <c r="B298" s="229"/>
      <c r="C298" s="198"/>
      <c r="D298" s="198"/>
      <c r="E298" s="198"/>
      <c r="F298" s="198"/>
      <c r="G298" s="198"/>
      <c r="H298" s="226"/>
      <c r="I298" s="198"/>
      <c r="J298" s="194">
        <f t="shared" si="244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31.0</v>
      </c>
      <c r="B299" s="217"/>
      <c r="C299" s="198"/>
      <c r="D299" s="198"/>
      <c r="E299" s="198"/>
      <c r="F299" s="198"/>
      <c r="G299" s="198"/>
      <c r="H299" s="226"/>
      <c r="I299" s="198"/>
      <c r="J299" s="194">
        <f t="shared" si="244"/>
        <v>0</v>
      </c>
      <c r="K299" s="177"/>
      <c r="L299" s="177"/>
      <c r="M299" s="177"/>
      <c r="N299" s="177"/>
      <c r="O299" s="177"/>
      <c r="P299" s="177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32.0</v>
      </c>
      <c r="B300" s="217"/>
      <c r="C300" s="160"/>
      <c r="D300" s="160"/>
      <c r="E300" s="160"/>
      <c r="F300" s="160"/>
      <c r="G300" s="160"/>
      <c r="H300" s="160"/>
      <c r="I300" s="160"/>
      <c r="J300" s="194">
        <f t="shared" si="244"/>
        <v>0</v>
      </c>
      <c r="K300" s="177"/>
      <c r="L300" s="177"/>
      <c r="M300" s="177"/>
      <c r="N300" s="177"/>
      <c r="O300" s="177"/>
      <c r="P300" s="177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33.0</v>
      </c>
      <c r="B301" s="229"/>
      <c r="C301" s="160"/>
      <c r="D301" s="160"/>
      <c r="E301" s="160"/>
      <c r="F301" s="160"/>
      <c r="G301" s="160"/>
      <c r="H301" s="160"/>
      <c r="I301" s="160"/>
      <c r="J301" s="194">
        <f t="shared" si="244"/>
        <v>0</v>
      </c>
      <c r="K301" s="177"/>
      <c r="L301" s="177"/>
      <c r="M301" s="177"/>
      <c r="N301" s="177"/>
      <c r="O301" s="177"/>
      <c r="P301" s="177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34.0</v>
      </c>
      <c r="B302" s="230"/>
      <c r="C302" s="160"/>
      <c r="D302" s="160"/>
      <c r="E302" s="160"/>
      <c r="F302" s="160"/>
      <c r="G302" s="160"/>
      <c r="H302" s="160"/>
      <c r="I302" s="160"/>
      <c r="J302" s="194">
        <f t="shared" si="244"/>
        <v>0</v>
      </c>
      <c r="K302" s="177"/>
      <c r="L302" s="177"/>
      <c r="M302" s="177"/>
      <c r="N302" s="177"/>
      <c r="O302" s="177"/>
      <c r="P302" s="177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35.0</v>
      </c>
      <c r="B303" s="231"/>
      <c r="C303" s="160"/>
      <c r="D303" s="160"/>
      <c r="E303" s="160"/>
      <c r="F303" s="160"/>
      <c r="G303" s="160"/>
      <c r="H303" s="160"/>
      <c r="I303" s="160"/>
      <c r="J303" s="194">
        <f t="shared" si="244"/>
        <v>0</v>
      </c>
      <c r="K303" s="177"/>
      <c r="L303" s="177"/>
      <c r="M303" s="177"/>
      <c r="N303" s="177"/>
      <c r="O303" s="177"/>
      <c r="P303" s="177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 t="s">
        <v>38</v>
      </c>
      <c r="I304" s="139"/>
      <c r="J304" s="232">
        <f>SUM(J271:J303)</f>
        <v>301</v>
      </c>
      <c r="K304" s="233"/>
      <c r="L304" s="233"/>
      <c r="M304" s="233"/>
      <c r="N304" s="233"/>
      <c r="O304" s="233"/>
      <c r="P304" s="233"/>
      <c r="Q304" s="233"/>
      <c r="R304" s="139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44"/>
      <c r="B305" s="144"/>
      <c r="C305" s="144"/>
      <c r="D305" s="144"/>
      <c r="E305" s="144"/>
      <c r="F305" s="144"/>
      <c r="G305" s="144"/>
      <c r="H305" s="145"/>
      <c r="I305" s="173"/>
      <c r="J305" s="204">
        <f>+J304*60%</f>
        <v>180.6</v>
      </c>
      <c r="K305" s="204"/>
      <c r="L305" s="204"/>
      <c r="M305" s="204"/>
      <c r="N305" s="204"/>
      <c r="O305" s="204"/>
      <c r="P305" s="204"/>
      <c r="Q305" s="204">
        <f>+J304*40%</f>
        <v>120.4</v>
      </c>
      <c r="R305" s="139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9.5" customHeight="1">
      <c r="A308" s="234" t="s">
        <v>41</v>
      </c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23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57.0" customHeight="1">
      <c r="A309" s="235"/>
      <c r="B309" s="236" t="s">
        <v>42</v>
      </c>
      <c r="C309" s="236" t="s">
        <v>43</v>
      </c>
      <c r="D309" s="236" t="s">
        <v>44</v>
      </c>
      <c r="E309" s="236" t="s">
        <v>45</v>
      </c>
      <c r="F309" s="236"/>
      <c r="G309" s="236"/>
      <c r="H309" s="237" t="s">
        <v>46</v>
      </c>
      <c r="I309" s="238" t="s">
        <v>47</v>
      </c>
      <c r="J309" s="139"/>
      <c r="K309" s="139"/>
      <c r="L309" s="139"/>
      <c r="M309" s="139"/>
      <c r="N309" s="139"/>
      <c r="O309" s="139"/>
      <c r="P309" s="139"/>
      <c r="Q309" s="139"/>
      <c r="R309" s="141"/>
      <c r="S309" s="223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18.75" customHeight="1">
      <c r="A310" s="239" t="s">
        <v>48</v>
      </c>
      <c r="B310" s="240">
        <f>+E25</f>
        <v>31555.9676</v>
      </c>
      <c r="C310" s="241">
        <f>+J243</f>
        <v>818.289475</v>
      </c>
      <c r="D310" s="241">
        <f>+J264</f>
        <v>0</v>
      </c>
      <c r="E310" s="242">
        <f>J305</f>
        <v>180.6</v>
      </c>
      <c r="F310" s="242"/>
      <c r="G310" s="242"/>
      <c r="H310" s="243">
        <f>+I25</f>
        <v>2563.616784</v>
      </c>
      <c r="I310" s="244">
        <f>+B310-C310-D310-E310-H310</f>
        <v>27993.46134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23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9.5" customHeight="1">
      <c r="A311" s="245" t="s">
        <v>49</v>
      </c>
      <c r="B311" s="246"/>
      <c r="C311" s="247">
        <f>+C310/B310</f>
        <v>0.02593137011</v>
      </c>
      <c r="D311" s="247">
        <f>+D310/B310</f>
        <v>0</v>
      </c>
      <c r="E311" s="247">
        <f>+E310/B310</f>
        <v>0.005723164705</v>
      </c>
      <c r="F311" s="247"/>
      <c r="G311" s="247"/>
      <c r="H311" s="248">
        <f>+H310/B310</f>
        <v>0.08124031615</v>
      </c>
      <c r="I311" s="249">
        <f>+I310/B310</f>
        <v>0.887105149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23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163"/>
      <c r="B312" s="220"/>
      <c r="C312" s="250"/>
      <c r="D312" s="250"/>
      <c r="E312" s="250"/>
      <c r="F312" s="250"/>
      <c r="G312" s="250"/>
      <c r="H312" s="251"/>
      <c r="I312" s="252"/>
      <c r="J312" s="139"/>
      <c r="K312" s="139"/>
      <c r="L312" s="139"/>
      <c r="M312" s="139"/>
      <c r="N312" s="139"/>
      <c r="O312" s="139"/>
      <c r="P312" s="139"/>
      <c r="Q312" s="139"/>
      <c r="R312" s="141"/>
      <c r="S312" s="223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253"/>
      <c r="B313" s="254"/>
      <c r="C313" s="254"/>
      <c r="D313" s="254" t="s">
        <v>50</v>
      </c>
      <c r="E313" s="254" t="s">
        <v>48</v>
      </c>
      <c r="F313" s="254"/>
      <c r="G313" s="254"/>
      <c r="H313" s="255">
        <f>+D310+E310+H310+I310</f>
        <v>30737.67813</v>
      </c>
      <c r="I313" s="256"/>
      <c r="J313" s="139"/>
      <c r="K313" s="139"/>
      <c r="L313" s="139"/>
      <c r="M313" s="139"/>
      <c r="N313" s="139"/>
      <c r="O313" s="139"/>
      <c r="P313" s="139"/>
      <c r="Q313" s="139"/>
      <c r="R313" s="141"/>
      <c r="S313" s="140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57"/>
      <c r="B314" s="139"/>
      <c r="C314" s="139"/>
      <c r="D314" s="139"/>
      <c r="E314" s="139" t="s">
        <v>49</v>
      </c>
      <c r="F314" s="139"/>
      <c r="G314" s="139"/>
      <c r="H314" s="251">
        <f>+H313/B310</f>
        <v>0.9740686299</v>
      </c>
      <c r="I314" s="25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57"/>
      <c r="B315" s="139"/>
      <c r="C315" s="139" t="s">
        <v>51</v>
      </c>
      <c r="D315" s="139"/>
      <c r="E315" s="139"/>
      <c r="F315" s="139"/>
      <c r="G315" s="139"/>
      <c r="H315" s="140"/>
      <c r="I315" s="258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57"/>
      <c r="B316" s="139"/>
      <c r="C316" s="139"/>
      <c r="D316" s="139" t="s">
        <v>52</v>
      </c>
      <c r="E316" s="139"/>
      <c r="F316" s="139"/>
      <c r="G316" s="139"/>
      <c r="H316" s="140">
        <f>+H315*(H313-H310)</f>
        <v>0</v>
      </c>
      <c r="I316" s="258"/>
      <c r="J316" s="139"/>
      <c r="K316" s="139"/>
      <c r="L316" s="139"/>
      <c r="M316" s="139"/>
      <c r="N316" s="139"/>
      <c r="O316" s="139"/>
      <c r="P316" s="139"/>
      <c r="Q316" s="139"/>
      <c r="R316" s="141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59"/>
      <c r="B317" s="260"/>
      <c r="C317" s="260"/>
      <c r="D317" s="260"/>
      <c r="E317" s="260"/>
      <c r="F317" s="260"/>
      <c r="G317" s="260"/>
      <c r="H317" s="261"/>
      <c r="I317" s="262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8.75" customHeight="1">
      <c r="A318" s="139"/>
      <c r="B318" s="139"/>
      <c r="C318" s="139"/>
      <c r="D318" s="139"/>
      <c r="E318" s="139"/>
      <c r="F318" s="139"/>
      <c r="G318" s="139"/>
      <c r="H318" s="140"/>
      <c r="I318" s="139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3"/>
      <c r="I512" s="7"/>
      <c r="J512" s="7"/>
      <c r="K512" s="7"/>
      <c r="L512" s="7"/>
      <c r="M512" s="7"/>
      <c r="N512" s="7"/>
      <c r="O512" s="7"/>
      <c r="P512" s="7"/>
      <c r="Q512" s="7"/>
      <c r="R512" s="264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3"/>
      <c r="I513" s="7"/>
      <c r="J513" s="7"/>
      <c r="K513" s="7"/>
      <c r="L513" s="7"/>
      <c r="M513" s="7"/>
      <c r="N513" s="7"/>
      <c r="O513" s="7"/>
      <c r="P513" s="7"/>
      <c r="Q513" s="7"/>
      <c r="R513" s="264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3"/>
      <c r="I514" s="7"/>
      <c r="J514" s="7"/>
      <c r="K514" s="7"/>
      <c r="L514" s="7"/>
      <c r="M514" s="7"/>
      <c r="N514" s="7"/>
      <c r="O514" s="7"/>
      <c r="P514" s="7"/>
      <c r="Q514" s="7"/>
      <c r="R514" s="264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3"/>
      <c r="I515" s="7"/>
      <c r="J515" s="7"/>
      <c r="K515" s="7"/>
      <c r="L515" s="7"/>
      <c r="M515" s="7"/>
      <c r="N515" s="7"/>
      <c r="O515" s="7"/>
      <c r="P515" s="7"/>
      <c r="Q515" s="7"/>
      <c r="R515" s="264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3"/>
      <c r="I516" s="7"/>
      <c r="J516" s="7"/>
      <c r="K516" s="7"/>
      <c r="L516" s="7"/>
      <c r="M516" s="7"/>
      <c r="N516" s="7"/>
      <c r="O516" s="7"/>
      <c r="P516" s="7"/>
      <c r="Q516" s="7"/>
      <c r="R516" s="264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9:E249"/>
    <mergeCell ref="C270:E27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13.71"/>
    <col customWidth="1" min="30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79</v>
      </c>
      <c r="C8" s="154">
        <v>16.5</v>
      </c>
      <c r="D8" s="155">
        <v>0.1057</v>
      </c>
      <c r="E8" s="156">
        <f>187.67*21.3</f>
        <v>3997.371</v>
      </c>
      <c r="F8" s="156"/>
      <c r="G8" s="156"/>
      <c r="H8" s="157">
        <v>13.7</v>
      </c>
      <c r="I8" s="158">
        <f t="shared" ref="I8:I24" si="1">+D8*E8</f>
        <v>422.5221147</v>
      </c>
      <c r="J8" s="159">
        <f t="shared" ref="J8:J24" si="2">E8-I8</f>
        <v>3574.848885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222.39*69</f>
        <v>15344.91</v>
      </c>
      <c r="F9" s="156"/>
      <c r="G9" s="156"/>
      <c r="H9" s="157">
        <v>69.0</v>
      </c>
      <c r="I9" s="158">
        <f t="shared" si="1"/>
        <v>1235.265255</v>
      </c>
      <c r="J9" s="159">
        <f t="shared" si="2"/>
        <v>14109.64475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26</v>
      </c>
      <c r="C10" s="154">
        <v>18.5</v>
      </c>
      <c r="D10" s="155">
        <v>0.0846</v>
      </c>
      <c r="E10" s="156">
        <f>211.4*33.2</f>
        <v>7018.48</v>
      </c>
      <c r="F10" s="156"/>
      <c r="G10" s="156"/>
      <c r="H10" s="157">
        <v>33.2</v>
      </c>
      <c r="I10" s="158">
        <f t="shared" si="1"/>
        <v>593.763408</v>
      </c>
      <c r="J10" s="159">
        <f t="shared" si="2"/>
        <v>6424.716592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91</v>
      </c>
      <c r="C11" s="154">
        <v>22.5</v>
      </c>
      <c r="D11" s="161">
        <v>0.0737</v>
      </c>
      <c r="E11" s="162">
        <f>252.01*28</f>
        <v>7056.28</v>
      </c>
      <c r="F11" s="162"/>
      <c r="G11" s="162"/>
      <c r="H11" s="157">
        <v>28.0</v>
      </c>
      <c r="I11" s="158">
        <f t="shared" si="1"/>
        <v>520.047836</v>
      </c>
      <c r="J11" s="159">
        <f t="shared" si="2"/>
        <v>6536.232164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85</v>
      </c>
      <c r="C12" s="160">
        <v>20.5</v>
      </c>
      <c r="D12" s="161">
        <v>0.0846</v>
      </c>
      <c r="E12" s="162">
        <f>204.203*15</f>
        <v>3063.045</v>
      </c>
      <c r="F12" s="162"/>
      <c r="G12" s="162"/>
      <c r="H12" s="157">
        <v>14.9</v>
      </c>
      <c r="I12" s="158">
        <f t="shared" si="1"/>
        <v>259.133607</v>
      </c>
      <c r="J12" s="159">
        <f t="shared" si="2"/>
        <v>2803.911393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98</v>
      </c>
      <c r="C13" s="160">
        <v>25.5</v>
      </c>
      <c r="D13" s="161">
        <v>0.0563</v>
      </c>
      <c r="E13" s="162">
        <f>230.53*1.3</f>
        <v>299.689</v>
      </c>
      <c r="F13" s="162"/>
      <c r="G13" s="162"/>
      <c r="H13" s="157">
        <v>1.3</v>
      </c>
      <c r="I13" s="158">
        <f t="shared" si="1"/>
        <v>16.8724907</v>
      </c>
      <c r="J13" s="159">
        <f t="shared" si="2"/>
        <v>282.8165093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24</v>
      </c>
      <c r="C14" s="160">
        <v>25.5</v>
      </c>
      <c r="D14" s="161">
        <v>0.0563</v>
      </c>
      <c r="E14" s="162">
        <f>230.53*4.4</f>
        <v>1014.332</v>
      </c>
      <c r="F14" s="162"/>
      <c r="G14" s="162"/>
      <c r="H14" s="157">
        <v>4.4</v>
      </c>
      <c r="I14" s="158">
        <f t="shared" si="1"/>
        <v>57.1068916</v>
      </c>
      <c r="J14" s="159">
        <f t="shared" si="2"/>
        <v>957.2251084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0" t="s">
        <v>99</v>
      </c>
      <c r="C15" s="160">
        <v>30.5</v>
      </c>
      <c r="D15" s="161">
        <v>0.0477</v>
      </c>
      <c r="E15" s="162">
        <f>264.882*32.7</f>
        <v>8661.6414</v>
      </c>
      <c r="F15" s="162"/>
      <c r="G15" s="162"/>
      <c r="H15" s="157">
        <v>32.7</v>
      </c>
      <c r="I15" s="158">
        <f t="shared" si="1"/>
        <v>413.1602948</v>
      </c>
      <c r="J15" s="159">
        <f t="shared" si="2"/>
        <v>8248.481105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46455.7484</v>
      </c>
      <c r="F25" s="168"/>
      <c r="G25" s="168"/>
      <c r="H25" s="169"/>
      <c r="I25" s="170">
        <f t="shared" ref="I25:J25" si="3">SUM(I8:I24)</f>
        <v>3517.871898</v>
      </c>
      <c r="J25" s="171">
        <f t="shared" si="3"/>
        <v>42937.8765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100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79</v>
      </c>
      <c r="C32" s="183">
        <v>76.0</v>
      </c>
      <c r="D32" s="183">
        <v>203.0</v>
      </c>
      <c r="E32" s="183">
        <v>185.0</v>
      </c>
      <c r="F32" s="183">
        <f t="shared" ref="F32:F100" si="5">VALUE(IF(RIGHT(B32, 1)="%", RIGHT(B32, 3), 0))</f>
        <v>0</v>
      </c>
      <c r="G32" s="183">
        <f t="shared" ref="G32:G100" si="6">+R32*C32/100*D32/100*E32/100</f>
        <v>47.09397</v>
      </c>
      <c r="H32" s="184">
        <f t="shared" ref="H32:H100" si="7">IF(F32=0, G32, F32*G32)</f>
        <v>47.09397</v>
      </c>
      <c r="I32" s="183">
        <v>1.0</v>
      </c>
      <c r="J32" s="185">
        <f t="shared" ref="J32:J100" si="8">+I32*H32</f>
        <v>47.09397</v>
      </c>
      <c r="K32" s="186"/>
      <c r="L32" s="187">
        <f>D32*25.4/1000</f>
        <v>5.1562</v>
      </c>
      <c r="M32" s="188">
        <f>+I32</f>
        <v>1</v>
      </c>
      <c r="N32" s="188">
        <f>M32*L32</f>
        <v>5.1562</v>
      </c>
      <c r="O32" s="186"/>
      <c r="P32" s="186"/>
      <c r="Q32" s="187">
        <v>67.0</v>
      </c>
      <c r="R32" s="189">
        <v>16.5</v>
      </c>
      <c r="S32" s="177">
        <f t="shared" ref="S32:S101" si="9">E32/100</f>
        <v>1.85</v>
      </c>
      <c r="T32" s="160">
        <f t="shared" ref="T32:T101" si="10">I32</f>
        <v>1</v>
      </c>
      <c r="U32" s="160">
        <f t="shared" ref="U32:U101" si="11">T32*S32</f>
        <v>1.85</v>
      </c>
      <c r="V32" s="190">
        <f t="shared" ref="V32:V100" si="12">R32*C32/100*D32/100*E32/100</f>
        <v>47.09397</v>
      </c>
      <c r="W32" s="177">
        <f t="shared" ref="W32:X32" si="4">C32/100</f>
        <v>0.76</v>
      </c>
      <c r="X32" s="177">
        <f t="shared" si="4"/>
        <v>2.03</v>
      </c>
      <c r="Y32" s="177">
        <f t="shared" ref="Y32:Y101" si="14">U32</f>
        <v>1.85</v>
      </c>
      <c r="Z32" s="191">
        <f t="shared" ref="Z32:Z101" si="15">W32*X32*Y32</f>
        <v>2.85418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79</v>
      </c>
      <c r="C33" s="192">
        <v>102.0</v>
      </c>
      <c r="D33" s="192">
        <v>204.0</v>
      </c>
      <c r="E33" s="192">
        <v>60.0</v>
      </c>
      <c r="F33" s="192">
        <f t="shared" si="5"/>
        <v>0</v>
      </c>
      <c r="G33" s="192">
        <f t="shared" si="6"/>
        <v>20.59992</v>
      </c>
      <c r="H33" s="193">
        <f t="shared" si="7"/>
        <v>20.59992</v>
      </c>
      <c r="I33" s="192">
        <v>1.0</v>
      </c>
      <c r="J33" s="194">
        <f t="shared" si="8"/>
        <v>20.59992</v>
      </c>
      <c r="K33" s="139"/>
      <c r="L33" s="177"/>
      <c r="M33" s="160"/>
      <c r="N33" s="160"/>
      <c r="O33" s="139"/>
      <c r="P33" s="139"/>
      <c r="Q33" s="177">
        <v>36.0</v>
      </c>
      <c r="R33" s="189">
        <v>16.5</v>
      </c>
      <c r="S33" s="177">
        <f t="shared" si="9"/>
        <v>0.6</v>
      </c>
      <c r="T33" s="160">
        <f t="shared" si="10"/>
        <v>1</v>
      </c>
      <c r="U33" s="160">
        <f t="shared" si="11"/>
        <v>0.6</v>
      </c>
      <c r="V33" s="190">
        <f t="shared" si="12"/>
        <v>20.59992</v>
      </c>
      <c r="W33" s="177">
        <f t="shared" ref="W33:X33" si="13">C33/100</f>
        <v>1.02</v>
      </c>
      <c r="X33" s="177">
        <f t="shared" si="13"/>
        <v>2.04</v>
      </c>
      <c r="Y33" s="177">
        <f t="shared" si="14"/>
        <v>0.6</v>
      </c>
      <c r="Z33" s="191">
        <f t="shared" si="15"/>
        <v>1.24848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79</v>
      </c>
      <c r="C34" s="192">
        <v>106.0</v>
      </c>
      <c r="D34" s="192">
        <v>204.0</v>
      </c>
      <c r="E34" s="192">
        <v>64.0</v>
      </c>
      <c r="F34" s="192">
        <f t="shared" si="5"/>
        <v>0</v>
      </c>
      <c r="G34" s="192">
        <f t="shared" si="6"/>
        <v>22.834944</v>
      </c>
      <c r="H34" s="193">
        <f t="shared" si="7"/>
        <v>22.834944</v>
      </c>
      <c r="I34" s="192">
        <v>1.0</v>
      </c>
      <c r="J34" s="194">
        <f t="shared" si="8"/>
        <v>22.834944</v>
      </c>
      <c r="K34" s="139"/>
      <c r="L34" s="177">
        <f t="shared" ref="L34:L56" si="17">D34*25.4/1000</f>
        <v>5.1816</v>
      </c>
      <c r="M34" s="160">
        <f t="shared" ref="M34:M69" si="18">+I34</f>
        <v>1</v>
      </c>
      <c r="N34" s="160">
        <f t="shared" ref="N34:N56" si="19">M34*L34</f>
        <v>5.1816</v>
      </c>
      <c r="O34" s="139"/>
      <c r="P34" s="139"/>
      <c r="Q34" s="177">
        <v>37.0</v>
      </c>
      <c r="R34" s="189">
        <v>16.5</v>
      </c>
      <c r="S34" s="177">
        <f t="shared" si="9"/>
        <v>0.64</v>
      </c>
      <c r="T34" s="160">
        <f t="shared" si="10"/>
        <v>1</v>
      </c>
      <c r="U34" s="160">
        <f t="shared" si="11"/>
        <v>0.64</v>
      </c>
      <c r="V34" s="190">
        <f t="shared" si="12"/>
        <v>22.834944</v>
      </c>
      <c r="W34" s="177">
        <f t="shared" ref="W34:X34" si="16">C34/100</f>
        <v>1.06</v>
      </c>
      <c r="X34" s="177">
        <f t="shared" si="16"/>
        <v>2.04</v>
      </c>
      <c r="Y34" s="177">
        <f t="shared" si="14"/>
        <v>0.64</v>
      </c>
      <c r="Z34" s="191">
        <f t="shared" si="15"/>
        <v>1.383936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79</v>
      </c>
      <c r="C35" s="192">
        <v>104.0</v>
      </c>
      <c r="D35" s="192">
        <v>204.0</v>
      </c>
      <c r="E35" s="192">
        <v>2860.0</v>
      </c>
      <c r="F35" s="192">
        <f t="shared" si="5"/>
        <v>0</v>
      </c>
      <c r="G35" s="192">
        <f t="shared" si="6"/>
        <v>1001.18304</v>
      </c>
      <c r="H35" s="193">
        <f t="shared" si="7"/>
        <v>1001.18304</v>
      </c>
      <c r="I35" s="192">
        <v>1.0</v>
      </c>
      <c r="J35" s="194">
        <f t="shared" si="8"/>
        <v>1001.18304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1020.0</v>
      </c>
      <c r="R35" s="189">
        <v>16.5</v>
      </c>
      <c r="S35" s="177">
        <f t="shared" si="9"/>
        <v>28.6</v>
      </c>
      <c r="T35" s="160">
        <f t="shared" si="10"/>
        <v>1</v>
      </c>
      <c r="U35" s="160">
        <f t="shared" si="11"/>
        <v>28.6</v>
      </c>
      <c r="V35" s="190">
        <f t="shared" si="12"/>
        <v>1001.18304</v>
      </c>
      <c r="W35" s="177">
        <f t="shared" ref="W35:X35" si="20">C35/100</f>
        <v>1.04</v>
      </c>
      <c r="X35" s="177">
        <f t="shared" si="20"/>
        <v>2.04</v>
      </c>
      <c r="Y35" s="177">
        <f t="shared" si="14"/>
        <v>28.6</v>
      </c>
      <c r="Z35" s="191">
        <f t="shared" si="15"/>
        <v>60.67776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79</v>
      </c>
      <c r="C36" s="192">
        <v>109.0</v>
      </c>
      <c r="D36" s="192">
        <v>204.0</v>
      </c>
      <c r="E36" s="192">
        <v>2855.0</v>
      </c>
      <c r="F36" s="192">
        <f t="shared" si="5"/>
        <v>0</v>
      </c>
      <c r="G36" s="192">
        <f t="shared" si="6"/>
        <v>1047.48237</v>
      </c>
      <c r="H36" s="193">
        <f t="shared" si="7"/>
        <v>1047.48237</v>
      </c>
      <c r="I36" s="192">
        <v>1.0</v>
      </c>
      <c r="J36" s="194">
        <f t="shared" si="8"/>
        <v>1047.48237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1020.0</v>
      </c>
      <c r="R36" s="189">
        <v>16.5</v>
      </c>
      <c r="S36" s="177">
        <f t="shared" si="9"/>
        <v>28.55</v>
      </c>
      <c r="T36" s="160">
        <f t="shared" si="10"/>
        <v>1</v>
      </c>
      <c r="U36" s="160">
        <f t="shared" si="11"/>
        <v>28.55</v>
      </c>
      <c r="V36" s="190">
        <f t="shared" si="12"/>
        <v>1047.48237</v>
      </c>
      <c r="W36" s="177">
        <f t="shared" ref="W36:X36" si="21">C36/100</f>
        <v>1.09</v>
      </c>
      <c r="X36" s="177">
        <f t="shared" si="21"/>
        <v>2.04</v>
      </c>
      <c r="Y36" s="177">
        <f t="shared" si="14"/>
        <v>28.55</v>
      </c>
      <c r="Z36" s="191">
        <f t="shared" si="15"/>
        <v>63.48378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82" t="s">
        <v>55</v>
      </c>
      <c r="C37" s="183">
        <v>80.0</v>
      </c>
      <c r="D37" s="183">
        <v>205.0</v>
      </c>
      <c r="E37" s="183">
        <v>125.0</v>
      </c>
      <c r="F37" s="183">
        <f t="shared" si="5"/>
        <v>0</v>
      </c>
      <c r="G37" s="183">
        <f t="shared" si="6"/>
        <v>46.125</v>
      </c>
      <c r="H37" s="184">
        <f t="shared" si="7"/>
        <v>46.125</v>
      </c>
      <c r="I37" s="183">
        <v>1.0</v>
      </c>
      <c r="J37" s="185">
        <f t="shared" si="8"/>
        <v>46.125</v>
      </c>
      <c r="K37" s="186"/>
      <c r="L37" s="187">
        <f t="shared" si="17"/>
        <v>5.207</v>
      </c>
      <c r="M37" s="188">
        <f t="shared" si="18"/>
        <v>1</v>
      </c>
      <c r="N37" s="188">
        <f t="shared" si="19"/>
        <v>5.207</v>
      </c>
      <c r="O37" s="186"/>
      <c r="P37" s="186"/>
      <c r="Q37" s="187">
        <v>55.0</v>
      </c>
      <c r="R37" s="189">
        <v>22.5</v>
      </c>
      <c r="S37" s="177">
        <f t="shared" si="9"/>
        <v>1.25</v>
      </c>
      <c r="T37" s="160">
        <f t="shared" si="10"/>
        <v>1</v>
      </c>
      <c r="U37" s="160">
        <f t="shared" si="11"/>
        <v>1.25</v>
      </c>
      <c r="V37" s="190">
        <f t="shared" si="12"/>
        <v>46.125</v>
      </c>
      <c r="W37" s="177">
        <f t="shared" ref="W37:X37" si="22">C37/100</f>
        <v>0.8</v>
      </c>
      <c r="X37" s="177">
        <f t="shared" si="22"/>
        <v>2.05</v>
      </c>
      <c r="Y37" s="177">
        <f t="shared" si="14"/>
        <v>1.25</v>
      </c>
      <c r="Z37" s="191">
        <f t="shared" si="15"/>
        <v>2.05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55</v>
      </c>
      <c r="C38" s="192">
        <v>85.0</v>
      </c>
      <c r="D38" s="192">
        <v>203.0</v>
      </c>
      <c r="E38" s="192">
        <v>171.0</v>
      </c>
      <c r="F38" s="192">
        <f t="shared" si="5"/>
        <v>0</v>
      </c>
      <c r="G38" s="192">
        <f t="shared" si="6"/>
        <v>66.3886125</v>
      </c>
      <c r="H38" s="193">
        <f t="shared" si="7"/>
        <v>66.3886125</v>
      </c>
      <c r="I38" s="192">
        <v>1.0</v>
      </c>
      <c r="J38" s="194">
        <f t="shared" si="8"/>
        <v>66.3886125</v>
      </c>
      <c r="K38" s="139"/>
      <c r="L38" s="177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7">
        <v>84.0</v>
      </c>
      <c r="R38" s="189">
        <v>22.5</v>
      </c>
      <c r="S38" s="177">
        <f t="shared" si="9"/>
        <v>1.71</v>
      </c>
      <c r="T38" s="160">
        <f t="shared" si="10"/>
        <v>1</v>
      </c>
      <c r="U38" s="160">
        <f t="shared" si="11"/>
        <v>1.71</v>
      </c>
      <c r="V38" s="190">
        <f t="shared" si="12"/>
        <v>66.3886125</v>
      </c>
      <c r="W38" s="177">
        <f t="shared" ref="W38:X38" si="23">C38/100</f>
        <v>0.85</v>
      </c>
      <c r="X38" s="177">
        <f t="shared" si="23"/>
        <v>2.03</v>
      </c>
      <c r="Y38" s="177">
        <f t="shared" si="14"/>
        <v>1.71</v>
      </c>
      <c r="Z38" s="191">
        <f t="shared" si="15"/>
        <v>2.950605</v>
      </c>
      <c r="AA38" s="139"/>
      <c r="AB38" s="139"/>
      <c r="AC38" s="268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55</v>
      </c>
      <c r="C39" s="192">
        <v>103.0</v>
      </c>
      <c r="D39" s="192">
        <v>204.0</v>
      </c>
      <c r="E39" s="192">
        <v>60.0</v>
      </c>
      <c r="F39" s="192">
        <f t="shared" si="5"/>
        <v>0</v>
      </c>
      <c r="G39" s="192">
        <f t="shared" si="6"/>
        <v>28.3662</v>
      </c>
      <c r="H39" s="193">
        <f t="shared" si="7"/>
        <v>28.3662</v>
      </c>
      <c r="I39" s="192">
        <v>1.0</v>
      </c>
      <c r="J39" s="194">
        <f t="shared" si="8"/>
        <v>28.3662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40.0</v>
      </c>
      <c r="R39" s="189">
        <v>22.5</v>
      </c>
      <c r="S39" s="177">
        <f t="shared" si="9"/>
        <v>0.6</v>
      </c>
      <c r="T39" s="160">
        <f t="shared" si="10"/>
        <v>1</v>
      </c>
      <c r="U39" s="160">
        <f t="shared" si="11"/>
        <v>0.6</v>
      </c>
      <c r="V39" s="190">
        <f t="shared" si="12"/>
        <v>28.3662</v>
      </c>
      <c r="W39" s="177">
        <f t="shared" ref="W39:X39" si="24">C39/100</f>
        <v>1.03</v>
      </c>
      <c r="X39" s="177">
        <f t="shared" si="24"/>
        <v>2.04</v>
      </c>
      <c r="Y39" s="177">
        <f t="shared" si="14"/>
        <v>0.6</v>
      </c>
      <c r="Z39" s="191">
        <f t="shared" si="15"/>
        <v>1.26072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55</v>
      </c>
      <c r="C40" s="192">
        <v>102.0</v>
      </c>
      <c r="D40" s="192">
        <v>204.0</v>
      </c>
      <c r="E40" s="192">
        <v>75.0</v>
      </c>
      <c r="F40" s="192">
        <f t="shared" si="5"/>
        <v>0</v>
      </c>
      <c r="G40" s="192">
        <f t="shared" si="6"/>
        <v>35.1135</v>
      </c>
      <c r="H40" s="193">
        <f t="shared" si="7"/>
        <v>35.1135</v>
      </c>
      <c r="I40" s="192">
        <v>1.0</v>
      </c>
      <c r="J40" s="194">
        <f t="shared" si="8"/>
        <v>35.1135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53.0</v>
      </c>
      <c r="R40" s="189">
        <v>22.5</v>
      </c>
      <c r="S40" s="177">
        <f t="shared" si="9"/>
        <v>0.75</v>
      </c>
      <c r="T40" s="160">
        <f t="shared" si="10"/>
        <v>1</v>
      </c>
      <c r="U40" s="160">
        <f t="shared" si="11"/>
        <v>0.75</v>
      </c>
      <c r="V40" s="190">
        <f t="shared" si="12"/>
        <v>35.1135</v>
      </c>
      <c r="W40" s="177">
        <f t="shared" ref="W40:X40" si="25">C40/100</f>
        <v>1.02</v>
      </c>
      <c r="X40" s="177">
        <f t="shared" si="25"/>
        <v>2.04</v>
      </c>
      <c r="Y40" s="177">
        <f t="shared" si="14"/>
        <v>0.75</v>
      </c>
      <c r="Z40" s="191">
        <f t="shared" si="15"/>
        <v>1.5606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2" t="s">
        <v>55</v>
      </c>
      <c r="C41" s="192">
        <v>104.0</v>
      </c>
      <c r="D41" s="192">
        <v>204.0</v>
      </c>
      <c r="E41" s="192">
        <v>2880.0</v>
      </c>
      <c r="F41" s="192">
        <f t="shared" si="5"/>
        <v>0</v>
      </c>
      <c r="G41" s="192">
        <f t="shared" si="6"/>
        <v>1374.7968</v>
      </c>
      <c r="H41" s="193">
        <f t="shared" si="7"/>
        <v>1374.7968</v>
      </c>
      <c r="I41" s="192">
        <v>1.0</v>
      </c>
      <c r="J41" s="194">
        <f t="shared" si="8"/>
        <v>1374.7968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1375.0</v>
      </c>
      <c r="R41" s="189">
        <v>22.5</v>
      </c>
      <c r="S41" s="177">
        <f t="shared" si="9"/>
        <v>28.8</v>
      </c>
      <c r="T41" s="160">
        <f t="shared" si="10"/>
        <v>1</v>
      </c>
      <c r="U41" s="160">
        <f t="shared" si="11"/>
        <v>28.8</v>
      </c>
      <c r="V41" s="190">
        <f t="shared" si="12"/>
        <v>1374.7968</v>
      </c>
      <c r="W41" s="177">
        <f t="shared" ref="W41:X41" si="26">C41/100</f>
        <v>1.04</v>
      </c>
      <c r="X41" s="177">
        <f t="shared" si="26"/>
        <v>2.04</v>
      </c>
      <c r="Y41" s="177">
        <f t="shared" si="14"/>
        <v>28.8</v>
      </c>
      <c r="Z41" s="191">
        <f t="shared" si="15"/>
        <v>61.10208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55</v>
      </c>
      <c r="C42" s="192">
        <v>102.0</v>
      </c>
      <c r="D42" s="192">
        <v>204.0</v>
      </c>
      <c r="E42" s="192">
        <v>2875.0</v>
      </c>
      <c r="F42" s="192">
        <f t="shared" si="5"/>
        <v>0</v>
      </c>
      <c r="G42" s="192">
        <f t="shared" si="6"/>
        <v>1346.0175</v>
      </c>
      <c r="H42" s="193">
        <f t="shared" si="7"/>
        <v>1346.0175</v>
      </c>
      <c r="I42" s="192">
        <v>1.0</v>
      </c>
      <c r="J42" s="194">
        <f t="shared" si="8"/>
        <v>1346.0175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1370.0</v>
      </c>
      <c r="R42" s="189">
        <v>22.5</v>
      </c>
      <c r="S42" s="177">
        <f t="shared" si="9"/>
        <v>28.75</v>
      </c>
      <c r="T42" s="160">
        <f t="shared" si="10"/>
        <v>1</v>
      </c>
      <c r="U42" s="160">
        <f t="shared" si="11"/>
        <v>28.75</v>
      </c>
      <c r="V42" s="190">
        <f t="shared" si="12"/>
        <v>1346.0175</v>
      </c>
      <c r="W42" s="177">
        <f t="shared" ref="W42:X42" si="27">C42/100</f>
        <v>1.02</v>
      </c>
      <c r="X42" s="177">
        <f t="shared" si="27"/>
        <v>2.04</v>
      </c>
      <c r="Y42" s="177">
        <f t="shared" si="14"/>
        <v>28.75</v>
      </c>
      <c r="Z42" s="191">
        <f t="shared" si="15"/>
        <v>59.823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55</v>
      </c>
      <c r="C43" s="192">
        <v>102.0</v>
      </c>
      <c r="D43" s="192">
        <v>204.0</v>
      </c>
      <c r="E43" s="192">
        <v>2880.0</v>
      </c>
      <c r="F43" s="192">
        <f t="shared" si="5"/>
        <v>0</v>
      </c>
      <c r="G43" s="192">
        <f t="shared" si="6"/>
        <v>1348.3584</v>
      </c>
      <c r="H43" s="193">
        <f t="shared" si="7"/>
        <v>1348.3584</v>
      </c>
      <c r="I43" s="192">
        <v>1.0</v>
      </c>
      <c r="J43" s="194">
        <f t="shared" si="8"/>
        <v>1348.3584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1340.0</v>
      </c>
      <c r="R43" s="189">
        <v>22.5</v>
      </c>
      <c r="S43" s="177">
        <f t="shared" si="9"/>
        <v>28.8</v>
      </c>
      <c r="T43" s="160">
        <f t="shared" si="10"/>
        <v>1</v>
      </c>
      <c r="U43" s="160">
        <f t="shared" si="11"/>
        <v>28.8</v>
      </c>
      <c r="V43" s="190">
        <f t="shared" si="12"/>
        <v>1348.3584</v>
      </c>
      <c r="W43" s="177">
        <f t="shared" ref="W43:X43" si="28">C43/100</f>
        <v>1.02</v>
      </c>
      <c r="X43" s="177">
        <f t="shared" si="28"/>
        <v>2.04</v>
      </c>
      <c r="Y43" s="177">
        <f t="shared" si="14"/>
        <v>28.8</v>
      </c>
      <c r="Z43" s="191">
        <f t="shared" si="15"/>
        <v>59.92704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55</v>
      </c>
      <c r="C44" s="192">
        <v>104.0</v>
      </c>
      <c r="D44" s="192">
        <v>204.0</v>
      </c>
      <c r="E44" s="192">
        <v>2881.0</v>
      </c>
      <c r="F44" s="192">
        <f t="shared" si="5"/>
        <v>0</v>
      </c>
      <c r="G44" s="192">
        <f t="shared" si="6"/>
        <v>1375.27416</v>
      </c>
      <c r="H44" s="193">
        <f t="shared" si="7"/>
        <v>1375.27416</v>
      </c>
      <c r="I44" s="192">
        <v>1.0</v>
      </c>
      <c r="J44" s="194">
        <f t="shared" si="8"/>
        <v>1375.27416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1370.0</v>
      </c>
      <c r="R44" s="189">
        <v>22.5</v>
      </c>
      <c r="S44" s="177">
        <f t="shared" si="9"/>
        <v>28.81</v>
      </c>
      <c r="T44" s="160">
        <f t="shared" si="10"/>
        <v>1</v>
      </c>
      <c r="U44" s="160">
        <f t="shared" si="11"/>
        <v>28.81</v>
      </c>
      <c r="V44" s="190">
        <f t="shared" si="12"/>
        <v>1375.27416</v>
      </c>
      <c r="W44" s="177">
        <f t="shared" ref="W44:X44" si="29">C44/100</f>
        <v>1.04</v>
      </c>
      <c r="X44" s="177">
        <f t="shared" si="29"/>
        <v>2.04</v>
      </c>
      <c r="Y44" s="177">
        <f t="shared" si="14"/>
        <v>28.81</v>
      </c>
      <c r="Z44" s="191">
        <f t="shared" si="15"/>
        <v>61.123296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55</v>
      </c>
      <c r="C45" s="192">
        <v>105.0</v>
      </c>
      <c r="D45" s="192">
        <v>204.0</v>
      </c>
      <c r="E45" s="192">
        <v>2878.0</v>
      </c>
      <c r="F45" s="192">
        <f t="shared" si="5"/>
        <v>0</v>
      </c>
      <c r="G45" s="192">
        <f t="shared" si="6"/>
        <v>1387.0521</v>
      </c>
      <c r="H45" s="193">
        <f t="shared" si="7"/>
        <v>1387.0521</v>
      </c>
      <c r="I45" s="192">
        <v>1.0</v>
      </c>
      <c r="J45" s="194">
        <f t="shared" si="8"/>
        <v>1387.0521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1355.0</v>
      </c>
      <c r="R45" s="189">
        <v>22.5</v>
      </c>
      <c r="S45" s="177">
        <f t="shared" si="9"/>
        <v>28.78</v>
      </c>
      <c r="T45" s="160">
        <f t="shared" si="10"/>
        <v>1</v>
      </c>
      <c r="U45" s="160">
        <f t="shared" si="11"/>
        <v>28.78</v>
      </c>
      <c r="V45" s="190">
        <f t="shared" si="12"/>
        <v>1387.0521</v>
      </c>
      <c r="W45" s="177">
        <f t="shared" ref="W45:X45" si="30">C45/100</f>
        <v>1.05</v>
      </c>
      <c r="X45" s="177">
        <f t="shared" si="30"/>
        <v>2.04</v>
      </c>
      <c r="Y45" s="177">
        <f t="shared" si="14"/>
        <v>28.78</v>
      </c>
      <c r="Z45" s="191">
        <f t="shared" si="15"/>
        <v>61.64676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55</v>
      </c>
      <c r="C46" s="192">
        <v>103.0</v>
      </c>
      <c r="D46" s="192">
        <v>204.0</v>
      </c>
      <c r="E46" s="192">
        <v>2876.0</v>
      </c>
      <c r="F46" s="192">
        <f t="shared" si="5"/>
        <v>0</v>
      </c>
      <c r="G46" s="192">
        <f t="shared" si="6"/>
        <v>1359.68652</v>
      </c>
      <c r="H46" s="193">
        <f t="shared" si="7"/>
        <v>1359.68652</v>
      </c>
      <c r="I46" s="192">
        <v>1.0</v>
      </c>
      <c r="J46" s="194">
        <f t="shared" si="8"/>
        <v>1359.68652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1350.0</v>
      </c>
      <c r="R46" s="189">
        <v>22.5</v>
      </c>
      <c r="S46" s="177">
        <f t="shared" si="9"/>
        <v>28.76</v>
      </c>
      <c r="T46" s="160">
        <f t="shared" si="10"/>
        <v>1</v>
      </c>
      <c r="U46" s="160">
        <f t="shared" si="11"/>
        <v>28.76</v>
      </c>
      <c r="V46" s="190">
        <f t="shared" si="12"/>
        <v>1359.68652</v>
      </c>
      <c r="W46" s="177">
        <f t="shared" ref="W46:X46" si="31">C46/100</f>
        <v>1.03</v>
      </c>
      <c r="X46" s="177">
        <f t="shared" si="31"/>
        <v>2.04</v>
      </c>
      <c r="Y46" s="177">
        <f t="shared" si="14"/>
        <v>28.76</v>
      </c>
      <c r="Z46" s="191">
        <f t="shared" si="15"/>
        <v>60.430512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55</v>
      </c>
      <c r="C47" s="192">
        <v>101.0</v>
      </c>
      <c r="D47" s="192">
        <v>204.0</v>
      </c>
      <c r="E47" s="192">
        <v>2880.0</v>
      </c>
      <c r="F47" s="192">
        <f t="shared" si="5"/>
        <v>0</v>
      </c>
      <c r="G47" s="192">
        <f t="shared" si="6"/>
        <v>1335.1392</v>
      </c>
      <c r="H47" s="193">
        <f t="shared" si="7"/>
        <v>1335.1392</v>
      </c>
      <c r="I47" s="192">
        <v>1.0</v>
      </c>
      <c r="J47" s="194">
        <f t="shared" si="8"/>
        <v>1335.1392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1340.0</v>
      </c>
      <c r="R47" s="189">
        <v>22.5</v>
      </c>
      <c r="S47" s="177">
        <f t="shared" si="9"/>
        <v>28.8</v>
      </c>
      <c r="T47" s="160">
        <f t="shared" si="10"/>
        <v>1</v>
      </c>
      <c r="U47" s="160">
        <f t="shared" si="11"/>
        <v>28.8</v>
      </c>
      <c r="V47" s="190">
        <f t="shared" si="12"/>
        <v>1335.1392</v>
      </c>
      <c r="W47" s="177">
        <f t="shared" ref="W47:X47" si="32">C47/100</f>
        <v>1.01</v>
      </c>
      <c r="X47" s="177">
        <f t="shared" si="32"/>
        <v>2.04</v>
      </c>
      <c r="Y47" s="177">
        <f t="shared" si="14"/>
        <v>28.8</v>
      </c>
      <c r="Z47" s="191">
        <f t="shared" si="15"/>
        <v>59.33952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55</v>
      </c>
      <c r="C48" s="192">
        <v>102.0</v>
      </c>
      <c r="D48" s="192">
        <v>204.0</v>
      </c>
      <c r="E48" s="192">
        <v>2880.0</v>
      </c>
      <c r="F48" s="192">
        <f t="shared" si="5"/>
        <v>0</v>
      </c>
      <c r="G48" s="192">
        <f t="shared" si="6"/>
        <v>1348.3584</v>
      </c>
      <c r="H48" s="193">
        <f t="shared" si="7"/>
        <v>1348.3584</v>
      </c>
      <c r="I48" s="192">
        <v>1.0</v>
      </c>
      <c r="J48" s="194">
        <f t="shared" si="8"/>
        <v>1348.3584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1340.0</v>
      </c>
      <c r="R48" s="189">
        <v>22.5</v>
      </c>
      <c r="S48" s="177">
        <f t="shared" si="9"/>
        <v>28.8</v>
      </c>
      <c r="T48" s="160">
        <f t="shared" si="10"/>
        <v>1</v>
      </c>
      <c r="U48" s="160">
        <f t="shared" si="11"/>
        <v>28.8</v>
      </c>
      <c r="V48" s="190">
        <f t="shared" si="12"/>
        <v>1348.3584</v>
      </c>
      <c r="W48" s="177">
        <f t="shared" ref="W48:X48" si="33">C48/100</f>
        <v>1.02</v>
      </c>
      <c r="X48" s="177">
        <f t="shared" si="33"/>
        <v>2.04</v>
      </c>
      <c r="Y48" s="177">
        <f t="shared" si="14"/>
        <v>28.8</v>
      </c>
      <c r="Z48" s="191">
        <f t="shared" si="15"/>
        <v>59.92704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55</v>
      </c>
      <c r="C49" s="192">
        <v>99.0</v>
      </c>
      <c r="D49" s="192">
        <v>204.0</v>
      </c>
      <c r="E49" s="192">
        <v>2885.0</v>
      </c>
      <c r="F49" s="192">
        <f t="shared" si="5"/>
        <v>0</v>
      </c>
      <c r="G49" s="192">
        <f t="shared" si="6"/>
        <v>1310.97285</v>
      </c>
      <c r="H49" s="193">
        <f t="shared" si="7"/>
        <v>1310.97285</v>
      </c>
      <c r="I49" s="192">
        <v>1.0</v>
      </c>
      <c r="J49" s="194">
        <f t="shared" si="8"/>
        <v>1310.97285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1335.0</v>
      </c>
      <c r="R49" s="189">
        <v>22.5</v>
      </c>
      <c r="S49" s="177">
        <f t="shared" si="9"/>
        <v>28.85</v>
      </c>
      <c r="T49" s="160">
        <f t="shared" si="10"/>
        <v>1</v>
      </c>
      <c r="U49" s="160">
        <f t="shared" si="11"/>
        <v>28.85</v>
      </c>
      <c r="V49" s="190">
        <f t="shared" si="12"/>
        <v>1310.97285</v>
      </c>
      <c r="W49" s="177">
        <f t="shared" ref="W49:X49" si="34">C49/100</f>
        <v>0.99</v>
      </c>
      <c r="X49" s="177">
        <f t="shared" si="34"/>
        <v>2.04</v>
      </c>
      <c r="Y49" s="177">
        <f t="shared" si="14"/>
        <v>28.85</v>
      </c>
      <c r="Z49" s="191">
        <f t="shared" si="15"/>
        <v>58.26546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55</v>
      </c>
      <c r="C50" s="192">
        <v>99.0</v>
      </c>
      <c r="D50" s="192">
        <v>204.0</v>
      </c>
      <c r="E50" s="192">
        <v>2884.0</v>
      </c>
      <c r="F50" s="192">
        <f t="shared" si="5"/>
        <v>0</v>
      </c>
      <c r="G50" s="192">
        <f t="shared" si="6"/>
        <v>1310.51844</v>
      </c>
      <c r="H50" s="193">
        <f t="shared" si="7"/>
        <v>1310.51844</v>
      </c>
      <c r="I50" s="192">
        <v>1.0</v>
      </c>
      <c r="J50" s="194">
        <f t="shared" si="8"/>
        <v>1310.51844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1320.0</v>
      </c>
      <c r="R50" s="189">
        <v>22.5</v>
      </c>
      <c r="S50" s="177">
        <f t="shared" si="9"/>
        <v>28.84</v>
      </c>
      <c r="T50" s="160">
        <f t="shared" si="10"/>
        <v>1</v>
      </c>
      <c r="U50" s="160">
        <f t="shared" si="11"/>
        <v>28.84</v>
      </c>
      <c r="V50" s="190">
        <f t="shared" si="12"/>
        <v>1310.51844</v>
      </c>
      <c r="W50" s="177">
        <f t="shared" ref="W50:X50" si="35">C50/100</f>
        <v>0.99</v>
      </c>
      <c r="X50" s="177">
        <f t="shared" si="35"/>
        <v>2.04</v>
      </c>
      <c r="Y50" s="177">
        <f t="shared" si="14"/>
        <v>28.84</v>
      </c>
      <c r="Z50" s="191">
        <f t="shared" si="15"/>
        <v>58.245264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82" t="s">
        <v>26</v>
      </c>
      <c r="C51" s="183">
        <v>89.0</v>
      </c>
      <c r="D51" s="183">
        <v>205.0</v>
      </c>
      <c r="E51" s="183">
        <v>191.0</v>
      </c>
      <c r="F51" s="183">
        <f t="shared" si="5"/>
        <v>0</v>
      </c>
      <c r="G51" s="183">
        <f t="shared" si="6"/>
        <v>66.211105</v>
      </c>
      <c r="H51" s="184">
        <f t="shared" si="7"/>
        <v>66.211105</v>
      </c>
      <c r="I51" s="183">
        <v>1.0</v>
      </c>
      <c r="J51" s="185">
        <f t="shared" si="8"/>
        <v>66.211105</v>
      </c>
      <c r="K51" s="186"/>
      <c r="L51" s="187">
        <f t="shared" si="17"/>
        <v>5.207</v>
      </c>
      <c r="M51" s="188">
        <f t="shared" si="18"/>
        <v>1</v>
      </c>
      <c r="N51" s="188">
        <f t="shared" si="19"/>
        <v>5.207</v>
      </c>
      <c r="O51" s="186"/>
      <c r="P51" s="186"/>
      <c r="Q51" s="187">
        <v>76.0</v>
      </c>
      <c r="R51" s="189">
        <v>19.0</v>
      </c>
      <c r="S51" s="177">
        <f t="shared" si="9"/>
        <v>1.91</v>
      </c>
      <c r="T51" s="160">
        <f t="shared" si="10"/>
        <v>1</v>
      </c>
      <c r="U51" s="160">
        <f t="shared" si="11"/>
        <v>1.91</v>
      </c>
      <c r="V51" s="190">
        <f t="shared" si="12"/>
        <v>66.211105</v>
      </c>
      <c r="W51" s="177">
        <f t="shared" ref="W51:X51" si="36">C51/100</f>
        <v>0.89</v>
      </c>
      <c r="X51" s="177">
        <f t="shared" si="36"/>
        <v>2.05</v>
      </c>
      <c r="Y51" s="177">
        <f t="shared" si="14"/>
        <v>1.91</v>
      </c>
      <c r="Z51" s="191">
        <f t="shared" si="15"/>
        <v>3.484795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26</v>
      </c>
      <c r="C52" s="192">
        <v>102.0</v>
      </c>
      <c r="D52" s="192">
        <v>204.0</v>
      </c>
      <c r="E52" s="192">
        <v>209.0</v>
      </c>
      <c r="F52" s="192">
        <f t="shared" si="5"/>
        <v>0</v>
      </c>
      <c r="G52" s="192">
        <f t="shared" si="6"/>
        <v>82.628568</v>
      </c>
      <c r="H52" s="193">
        <f t="shared" si="7"/>
        <v>82.628568</v>
      </c>
      <c r="I52" s="192">
        <v>1.0</v>
      </c>
      <c r="J52" s="194">
        <f t="shared" si="8"/>
        <v>82.628568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88.0</v>
      </c>
      <c r="R52" s="189">
        <v>19.0</v>
      </c>
      <c r="S52" s="177">
        <f t="shared" si="9"/>
        <v>2.09</v>
      </c>
      <c r="T52" s="160">
        <f t="shared" si="10"/>
        <v>1</v>
      </c>
      <c r="U52" s="160">
        <f t="shared" si="11"/>
        <v>2.09</v>
      </c>
      <c r="V52" s="190">
        <f t="shared" si="12"/>
        <v>82.628568</v>
      </c>
      <c r="W52" s="177">
        <f t="shared" ref="W52:X52" si="37">C52/100</f>
        <v>1.02</v>
      </c>
      <c r="X52" s="177">
        <f t="shared" si="37"/>
        <v>2.04</v>
      </c>
      <c r="Y52" s="177">
        <f t="shared" si="14"/>
        <v>2.09</v>
      </c>
      <c r="Z52" s="191">
        <f t="shared" si="15"/>
        <v>4.348872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26</v>
      </c>
      <c r="C53" s="192">
        <v>104.0</v>
      </c>
      <c r="D53" s="192">
        <v>205.0</v>
      </c>
      <c r="E53" s="192">
        <v>207.0</v>
      </c>
      <c r="F53" s="192">
        <f t="shared" si="5"/>
        <v>0</v>
      </c>
      <c r="G53" s="192">
        <f t="shared" si="6"/>
        <v>83.85156</v>
      </c>
      <c r="H53" s="193">
        <f t="shared" si="7"/>
        <v>83.85156</v>
      </c>
      <c r="I53" s="192">
        <v>1.0</v>
      </c>
      <c r="J53" s="194">
        <f t="shared" si="8"/>
        <v>83.85156</v>
      </c>
      <c r="K53" s="139"/>
      <c r="L53" s="177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7">
        <v>88.0</v>
      </c>
      <c r="R53" s="189">
        <v>19.0</v>
      </c>
      <c r="S53" s="177">
        <f t="shared" si="9"/>
        <v>2.07</v>
      </c>
      <c r="T53" s="160">
        <f t="shared" si="10"/>
        <v>1</v>
      </c>
      <c r="U53" s="160">
        <f t="shared" si="11"/>
        <v>2.07</v>
      </c>
      <c r="V53" s="190">
        <f t="shared" si="12"/>
        <v>83.85156</v>
      </c>
      <c r="W53" s="177">
        <f t="shared" ref="W53:X53" si="38">C53/100</f>
        <v>1.04</v>
      </c>
      <c r="X53" s="177">
        <f t="shared" si="38"/>
        <v>2.05</v>
      </c>
      <c r="Y53" s="177">
        <f t="shared" si="14"/>
        <v>2.07</v>
      </c>
      <c r="Z53" s="191">
        <f t="shared" si="15"/>
        <v>4.41324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26</v>
      </c>
      <c r="C54" s="192">
        <v>102.0</v>
      </c>
      <c r="D54" s="192">
        <v>205.0</v>
      </c>
      <c r="E54" s="192">
        <v>236.0</v>
      </c>
      <c r="F54" s="192">
        <f t="shared" si="5"/>
        <v>0</v>
      </c>
      <c r="G54" s="192">
        <f t="shared" si="6"/>
        <v>93.76044</v>
      </c>
      <c r="H54" s="193">
        <f t="shared" si="7"/>
        <v>93.76044</v>
      </c>
      <c r="I54" s="192">
        <v>1.0</v>
      </c>
      <c r="J54" s="194">
        <f t="shared" si="8"/>
        <v>93.76044</v>
      </c>
      <c r="K54" s="139"/>
      <c r="L54" s="177">
        <f t="shared" si="17"/>
        <v>5.207</v>
      </c>
      <c r="M54" s="160">
        <f t="shared" si="18"/>
        <v>1</v>
      </c>
      <c r="N54" s="160">
        <f t="shared" si="19"/>
        <v>5.207</v>
      </c>
      <c r="O54" s="139"/>
      <c r="P54" s="139"/>
      <c r="Q54" s="177">
        <v>101.0</v>
      </c>
      <c r="R54" s="189">
        <v>19.0</v>
      </c>
      <c r="S54" s="177">
        <f t="shared" si="9"/>
        <v>2.36</v>
      </c>
      <c r="T54" s="160">
        <f t="shared" si="10"/>
        <v>1</v>
      </c>
      <c r="U54" s="160">
        <f t="shared" si="11"/>
        <v>2.36</v>
      </c>
      <c r="V54" s="190">
        <f t="shared" si="12"/>
        <v>93.76044</v>
      </c>
      <c r="W54" s="177">
        <f t="shared" ref="W54:X54" si="39">C54/100</f>
        <v>1.02</v>
      </c>
      <c r="X54" s="177">
        <f t="shared" si="39"/>
        <v>2.05</v>
      </c>
      <c r="Y54" s="177">
        <f t="shared" si="14"/>
        <v>2.36</v>
      </c>
      <c r="Z54" s="191">
        <f t="shared" si="15"/>
        <v>4.93476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26</v>
      </c>
      <c r="C55" s="192">
        <v>106.0</v>
      </c>
      <c r="D55" s="192">
        <v>204.0</v>
      </c>
      <c r="E55" s="192">
        <v>60.0</v>
      </c>
      <c r="F55" s="192">
        <f t="shared" si="5"/>
        <v>0</v>
      </c>
      <c r="G55" s="192">
        <f t="shared" si="6"/>
        <v>24.65136</v>
      </c>
      <c r="H55" s="193">
        <f t="shared" si="7"/>
        <v>24.65136</v>
      </c>
      <c r="I55" s="192">
        <v>1.0</v>
      </c>
      <c r="J55" s="194">
        <f t="shared" si="8"/>
        <v>24.65136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40.0</v>
      </c>
      <c r="R55" s="189">
        <v>19.0</v>
      </c>
      <c r="S55" s="177">
        <f t="shared" si="9"/>
        <v>0.6</v>
      </c>
      <c r="T55" s="160">
        <f t="shared" si="10"/>
        <v>1</v>
      </c>
      <c r="U55" s="160">
        <f t="shared" si="11"/>
        <v>0.6</v>
      </c>
      <c r="V55" s="190">
        <f t="shared" si="12"/>
        <v>24.65136</v>
      </c>
      <c r="W55" s="177">
        <f t="shared" ref="W55:X55" si="40">C55/100</f>
        <v>1.06</v>
      </c>
      <c r="X55" s="177">
        <f t="shared" si="40"/>
        <v>2.04</v>
      </c>
      <c r="Y55" s="177">
        <f t="shared" si="14"/>
        <v>0.6</v>
      </c>
      <c r="Z55" s="191">
        <f t="shared" si="15"/>
        <v>1.29744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26</v>
      </c>
      <c r="C56" s="192">
        <v>105.0</v>
      </c>
      <c r="D56" s="192">
        <v>204.0</v>
      </c>
      <c r="E56" s="192">
        <v>74.0</v>
      </c>
      <c r="F56" s="192">
        <f t="shared" si="5"/>
        <v>0</v>
      </c>
      <c r="G56" s="192">
        <f t="shared" si="6"/>
        <v>30.11652</v>
      </c>
      <c r="H56" s="193">
        <f t="shared" si="7"/>
        <v>30.11652</v>
      </c>
      <c r="I56" s="192">
        <v>1.0</v>
      </c>
      <c r="J56" s="194">
        <f t="shared" si="8"/>
        <v>30.11652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43.0</v>
      </c>
      <c r="R56" s="189">
        <v>19.0</v>
      </c>
      <c r="S56" s="177">
        <f t="shared" si="9"/>
        <v>0.74</v>
      </c>
      <c r="T56" s="160">
        <f t="shared" si="10"/>
        <v>1</v>
      </c>
      <c r="U56" s="160">
        <f t="shared" si="11"/>
        <v>0.74</v>
      </c>
      <c r="V56" s="190">
        <f t="shared" si="12"/>
        <v>30.11652</v>
      </c>
      <c r="W56" s="177">
        <f t="shared" ref="W56:X56" si="41">C56/100</f>
        <v>1.05</v>
      </c>
      <c r="X56" s="177">
        <f t="shared" si="41"/>
        <v>2.04</v>
      </c>
      <c r="Y56" s="177">
        <f t="shared" si="14"/>
        <v>0.74</v>
      </c>
      <c r="Z56" s="191">
        <f t="shared" si="15"/>
        <v>1.58508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26</v>
      </c>
      <c r="C57" s="192">
        <v>108.0</v>
      </c>
      <c r="D57" s="192">
        <v>204.0</v>
      </c>
      <c r="E57" s="192">
        <v>2855.0</v>
      </c>
      <c r="F57" s="192">
        <f t="shared" si="5"/>
        <v>0</v>
      </c>
      <c r="G57" s="192">
        <f t="shared" si="6"/>
        <v>1195.12584</v>
      </c>
      <c r="H57" s="193">
        <f t="shared" si="7"/>
        <v>1195.12584</v>
      </c>
      <c r="I57" s="192">
        <v>1.0</v>
      </c>
      <c r="J57" s="194">
        <f t="shared" si="8"/>
        <v>1195.12584</v>
      </c>
      <c r="K57" s="139"/>
      <c r="L57" s="195"/>
      <c r="M57" s="196">
        <f t="shared" si="18"/>
        <v>1</v>
      </c>
      <c r="N57" s="196"/>
      <c r="O57" s="139"/>
      <c r="P57" s="139"/>
      <c r="Q57" s="177">
        <v>1200.0</v>
      </c>
      <c r="R57" s="189">
        <v>19.0</v>
      </c>
      <c r="S57" s="177">
        <f t="shared" si="9"/>
        <v>28.55</v>
      </c>
      <c r="T57" s="160">
        <f t="shared" si="10"/>
        <v>1</v>
      </c>
      <c r="U57" s="160">
        <f t="shared" si="11"/>
        <v>28.55</v>
      </c>
      <c r="V57" s="190">
        <f t="shared" si="12"/>
        <v>1195.12584</v>
      </c>
      <c r="W57" s="177">
        <f t="shared" ref="W57:X57" si="42">C57/100</f>
        <v>1.08</v>
      </c>
      <c r="X57" s="177">
        <f t="shared" si="42"/>
        <v>2.04</v>
      </c>
      <c r="Y57" s="177">
        <f t="shared" si="14"/>
        <v>28.55</v>
      </c>
      <c r="Z57" s="191">
        <f t="shared" si="15"/>
        <v>62.90136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26</v>
      </c>
      <c r="C58" s="192">
        <v>108.0</v>
      </c>
      <c r="D58" s="192">
        <v>204.0</v>
      </c>
      <c r="E58" s="192">
        <v>2861.0</v>
      </c>
      <c r="F58" s="192">
        <f t="shared" si="5"/>
        <v>0</v>
      </c>
      <c r="G58" s="192">
        <f t="shared" si="6"/>
        <v>1197.637488</v>
      </c>
      <c r="H58" s="193">
        <f t="shared" si="7"/>
        <v>1197.637488</v>
      </c>
      <c r="I58" s="192">
        <v>1.0</v>
      </c>
      <c r="J58" s="194">
        <f t="shared" si="8"/>
        <v>1197.637488</v>
      </c>
      <c r="K58" s="139"/>
      <c r="L58" s="195"/>
      <c r="M58" s="196">
        <f t="shared" si="18"/>
        <v>1</v>
      </c>
      <c r="N58" s="196"/>
      <c r="O58" s="139"/>
      <c r="P58" s="139"/>
      <c r="Q58" s="177">
        <v>1215.0</v>
      </c>
      <c r="R58" s="189">
        <v>19.0</v>
      </c>
      <c r="S58" s="177">
        <f t="shared" si="9"/>
        <v>28.61</v>
      </c>
      <c r="T58" s="160">
        <f t="shared" si="10"/>
        <v>1</v>
      </c>
      <c r="U58" s="160">
        <f t="shared" si="11"/>
        <v>28.61</v>
      </c>
      <c r="V58" s="190">
        <f t="shared" si="12"/>
        <v>1197.637488</v>
      </c>
      <c r="W58" s="177">
        <f t="shared" ref="W58:X58" si="43">C58/100</f>
        <v>1.08</v>
      </c>
      <c r="X58" s="177">
        <f t="shared" si="43"/>
        <v>2.04</v>
      </c>
      <c r="Y58" s="177">
        <f t="shared" si="14"/>
        <v>28.61</v>
      </c>
      <c r="Z58" s="191">
        <f t="shared" si="15"/>
        <v>63.033552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26</v>
      </c>
      <c r="C59" s="192">
        <v>107.0</v>
      </c>
      <c r="D59" s="192">
        <v>204.0</v>
      </c>
      <c r="E59" s="192">
        <v>2858.0</v>
      </c>
      <c r="F59" s="192">
        <f t="shared" si="5"/>
        <v>0</v>
      </c>
      <c r="G59" s="192">
        <f t="shared" si="6"/>
        <v>1185.304056</v>
      </c>
      <c r="H59" s="193">
        <f t="shared" si="7"/>
        <v>1185.304056</v>
      </c>
      <c r="I59" s="192">
        <v>1.0</v>
      </c>
      <c r="J59" s="194">
        <f t="shared" si="8"/>
        <v>1185.304056</v>
      </c>
      <c r="K59" s="139"/>
      <c r="L59" s="195"/>
      <c r="M59" s="196">
        <f t="shared" si="18"/>
        <v>1</v>
      </c>
      <c r="N59" s="196"/>
      <c r="O59" s="139"/>
      <c r="P59" s="139"/>
      <c r="Q59" s="177">
        <v>1190.0</v>
      </c>
      <c r="R59" s="189">
        <v>19.0</v>
      </c>
      <c r="S59" s="177">
        <f t="shared" si="9"/>
        <v>28.58</v>
      </c>
      <c r="T59" s="160">
        <f t="shared" si="10"/>
        <v>1</v>
      </c>
      <c r="U59" s="160">
        <f t="shared" si="11"/>
        <v>28.58</v>
      </c>
      <c r="V59" s="190">
        <f t="shared" si="12"/>
        <v>1185.304056</v>
      </c>
      <c r="W59" s="177">
        <f t="shared" ref="W59:X59" si="44">C59/100</f>
        <v>1.07</v>
      </c>
      <c r="X59" s="177">
        <f t="shared" si="44"/>
        <v>2.04</v>
      </c>
      <c r="Y59" s="177">
        <f t="shared" si="14"/>
        <v>28.58</v>
      </c>
      <c r="Z59" s="191">
        <f t="shared" si="15"/>
        <v>62.384424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2" t="s">
        <v>26</v>
      </c>
      <c r="C60" s="192">
        <v>104.0</v>
      </c>
      <c r="D60" s="192">
        <v>204.0</v>
      </c>
      <c r="E60" s="192">
        <v>2861.0</v>
      </c>
      <c r="F60" s="192">
        <f t="shared" si="5"/>
        <v>0</v>
      </c>
      <c r="G60" s="192">
        <f t="shared" si="6"/>
        <v>1153.280544</v>
      </c>
      <c r="H60" s="193">
        <f t="shared" si="7"/>
        <v>1153.280544</v>
      </c>
      <c r="I60" s="192">
        <v>1.0</v>
      </c>
      <c r="J60" s="194">
        <f t="shared" si="8"/>
        <v>1153.280544</v>
      </c>
      <c r="K60" s="139"/>
      <c r="L60" s="195"/>
      <c r="M60" s="196">
        <f t="shared" si="18"/>
        <v>1</v>
      </c>
      <c r="N60" s="196"/>
      <c r="O60" s="139"/>
      <c r="P60" s="139"/>
      <c r="Q60" s="177">
        <v>1190.0</v>
      </c>
      <c r="R60" s="189">
        <v>19.0</v>
      </c>
      <c r="S60" s="177">
        <f t="shared" si="9"/>
        <v>28.61</v>
      </c>
      <c r="T60" s="160">
        <f t="shared" si="10"/>
        <v>1</v>
      </c>
      <c r="U60" s="160">
        <f t="shared" si="11"/>
        <v>28.61</v>
      </c>
      <c r="V60" s="190">
        <f t="shared" si="12"/>
        <v>1153.280544</v>
      </c>
      <c r="W60" s="177">
        <f t="shared" ref="W60:X60" si="45">C60/100</f>
        <v>1.04</v>
      </c>
      <c r="X60" s="177">
        <f t="shared" si="45"/>
        <v>2.04</v>
      </c>
      <c r="Y60" s="177">
        <f t="shared" si="14"/>
        <v>28.61</v>
      </c>
      <c r="Z60" s="191">
        <f t="shared" si="15"/>
        <v>60.698976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2" t="s">
        <v>26</v>
      </c>
      <c r="C61" s="192">
        <v>107.0</v>
      </c>
      <c r="D61" s="192">
        <v>204.0</v>
      </c>
      <c r="E61" s="192">
        <v>2170.0</v>
      </c>
      <c r="F61" s="192">
        <f t="shared" si="5"/>
        <v>0</v>
      </c>
      <c r="G61" s="192">
        <f t="shared" si="6"/>
        <v>899.96844</v>
      </c>
      <c r="H61" s="193">
        <f t="shared" si="7"/>
        <v>899.96844</v>
      </c>
      <c r="I61" s="192">
        <v>1.0</v>
      </c>
      <c r="J61" s="194">
        <f t="shared" si="8"/>
        <v>899.96844</v>
      </c>
      <c r="K61" s="139"/>
      <c r="L61" s="195"/>
      <c r="M61" s="196">
        <f t="shared" si="18"/>
        <v>1</v>
      </c>
      <c r="N61" s="196"/>
      <c r="O61" s="139"/>
      <c r="P61" s="139"/>
      <c r="Q61" s="177">
        <v>880.0</v>
      </c>
      <c r="R61" s="189">
        <v>19.0</v>
      </c>
      <c r="S61" s="177">
        <f t="shared" si="9"/>
        <v>21.7</v>
      </c>
      <c r="T61" s="160">
        <f t="shared" si="10"/>
        <v>1</v>
      </c>
      <c r="U61" s="160">
        <f t="shared" si="11"/>
        <v>21.7</v>
      </c>
      <c r="V61" s="190">
        <f t="shared" si="12"/>
        <v>899.96844</v>
      </c>
      <c r="W61" s="177">
        <f t="shared" ref="W61:X61" si="46">C61/100</f>
        <v>1.07</v>
      </c>
      <c r="X61" s="177">
        <f t="shared" si="46"/>
        <v>2.04</v>
      </c>
      <c r="Y61" s="177">
        <f t="shared" si="14"/>
        <v>21.7</v>
      </c>
      <c r="Z61" s="191">
        <f t="shared" si="15"/>
        <v>47.36676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82" t="s">
        <v>91</v>
      </c>
      <c r="C62" s="183">
        <v>90.0</v>
      </c>
      <c r="D62" s="183">
        <v>205.0</v>
      </c>
      <c r="E62" s="183">
        <v>198.0</v>
      </c>
      <c r="F62" s="183">
        <f t="shared" si="5"/>
        <v>0</v>
      </c>
      <c r="G62" s="183">
        <f t="shared" si="6"/>
        <v>84.0213</v>
      </c>
      <c r="H62" s="184">
        <f t="shared" si="7"/>
        <v>84.0213</v>
      </c>
      <c r="I62" s="183">
        <v>1.0</v>
      </c>
      <c r="J62" s="185">
        <f t="shared" si="8"/>
        <v>84.0213</v>
      </c>
      <c r="K62" s="186"/>
      <c r="L62" s="265"/>
      <c r="M62" s="266">
        <f t="shared" si="18"/>
        <v>1</v>
      </c>
      <c r="N62" s="266"/>
      <c r="O62" s="186"/>
      <c r="P62" s="186"/>
      <c r="Q62" s="187">
        <v>96.0</v>
      </c>
      <c r="R62" s="189">
        <v>23.0</v>
      </c>
      <c r="S62" s="177">
        <f t="shared" si="9"/>
        <v>1.98</v>
      </c>
      <c r="T62" s="160">
        <f t="shared" si="10"/>
        <v>1</v>
      </c>
      <c r="U62" s="160">
        <f t="shared" si="11"/>
        <v>1.98</v>
      </c>
      <c r="V62" s="190">
        <f t="shared" si="12"/>
        <v>84.0213</v>
      </c>
      <c r="W62" s="177">
        <f t="shared" ref="W62:X62" si="47">C62/100</f>
        <v>0.9</v>
      </c>
      <c r="X62" s="177">
        <f t="shared" si="47"/>
        <v>2.05</v>
      </c>
      <c r="Y62" s="177">
        <f t="shared" si="14"/>
        <v>1.98</v>
      </c>
      <c r="Z62" s="191">
        <f t="shared" si="15"/>
        <v>3.6531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2" t="s">
        <v>91</v>
      </c>
      <c r="C63" s="192">
        <v>90.0</v>
      </c>
      <c r="D63" s="192">
        <v>204.0</v>
      </c>
      <c r="E63" s="192">
        <v>226.0</v>
      </c>
      <c r="F63" s="192">
        <f t="shared" si="5"/>
        <v>0</v>
      </c>
      <c r="G63" s="192">
        <f t="shared" si="6"/>
        <v>95.43528</v>
      </c>
      <c r="H63" s="193">
        <f t="shared" si="7"/>
        <v>95.43528</v>
      </c>
      <c r="I63" s="192">
        <v>1.0</v>
      </c>
      <c r="J63" s="194">
        <f t="shared" si="8"/>
        <v>95.43528</v>
      </c>
      <c r="K63" s="139"/>
      <c r="L63" s="195"/>
      <c r="M63" s="196">
        <f t="shared" si="18"/>
        <v>1</v>
      </c>
      <c r="N63" s="196"/>
      <c r="O63" s="139"/>
      <c r="P63" s="139"/>
      <c r="Q63" s="177">
        <v>119.0</v>
      </c>
      <c r="R63" s="189">
        <v>23.0</v>
      </c>
      <c r="S63" s="177">
        <f t="shared" si="9"/>
        <v>2.26</v>
      </c>
      <c r="T63" s="160">
        <f t="shared" si="10"/>
        <v>1</v>
      </c>
      <c r="U63" s="160">
        <f t="shared" si="11"/>
        <v>2.26</v>
      </c>
      <c r="V63" s="190">
        <f t="shared" si="12"/>
        <v>95.43528</v>
      </c>
      <c r="W63" s="177">
        <f t="shared" ref="W63:X63" si="48">C63/100</f>
        <v>0.9</v>
      </c>
      <c r="X63" s="177">
        <f t="shared" si="48"/>
        <v>2.04</v>
      </c>
      <c r="Y63" s="177">
        <f t="shared" si="14"/>
        <v>2.26</v>
      </c>
      <c r="Z63" s="191">
        <f t="shared" si="15"/>
        <v>4.14936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92" t="s">
        <v>91</v>
      </c>
      <c r="C64" s="192">
        <v>109.0</v>
      </c>
      <c r="D64" s="192">
        <v>205.0</v>
      </c>
      <c r="E64" s="192">
        <v>202.0</v>
      </c>
      <c r="F64" s="192">
        <f t="shared" si="5"/>
        <v>0</v>
      </c>
      <c r="G64" s="192">
        <f t="shared" si="6"/>
        <v>103.81487</v>
      </c>
      <c r="H64" s="193">
        <f t="shared" si="7"/>
        <v>103.81487</v>
      </c>
      <c r="I64" s="192">
        <v>1.0</v>
      </c>
      <c r="J64" s="194">
        <f t="shared" si="8"/>
        <v>103.81487</v>
      </c>
      <c r="K64" s="139"/>
      <c r="L64" s="195"/>
      <c r="M64" s="196">
        <f t="shared" si="18"/>
        <v>1</v>
      </c>
      <c r="N64" s="196"/>
      <c r="O64" s="139"/>
      <c r="P64" s="139"/>
      <c r="Q64" s="177">
        <v>107.0</v>
      </c>
      <c r="R64" s="189">
        <v>23.0</v>
      </c>
      <c r="S64" s="177">
        <f t="shared" si="9"/>
        <v>2.02</v>
      </c>
      <c r="T64" s="160">
        <f t="shared" si="10"/>
        <v>1</v>
      </c>
      <c r="U64" s="160">
        <f t="shared" si="11"/>
        <v>2.02</v>
      </c>
      <c r="V64" s="190">
        <f t="shared" si="12"/>
        <v>103.81487</v>
      </c>
      <c r="W64" s="177">
        <f t="shared" ref="W64:X64" si="49">C64/100</f>
        <v>1.09</v>
      </c>
      <c r="X64" s="177">
        <f t="shared" si="49"/>
        <v>2.05</v>
      </c>
      <c r="Y64" s="177">
        <f t="shared" si="14"/>
        <v>2.02</v>
      </c>
      <c r="Z64" s="191">
        <f t="shared" si="15"/>
        <v>4.51369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2" t="s">
        <v>91</v>
      </c>
      <c r="C65" s="192">
        <v>109.0</v>
      </c>
      <c r="D65" s="192">
        <v>204.0</v>
      </c>
      <c r="E65" s="192">
        <v>67.0</v>
      </c>
      <c r="F65" s="192">
        <f t="shared" si="5"/>
        <v>0</v>
      </c>
      <c r="G65" s="192">
        <f t="shared" si="6"/>
        <v>34.265676</v>
      </c>
      <c r="H65" s="193">
        <f t="shared" si="7"/>
        <v>34.265676</v>
      </c>
      <c r="I65" s="192">
        <v>1.0</v>
      </c>
      <c r="J65" s="194">
        <f t="shared" si="8"/>
        <v>34.265676</v>
      </c>
      <c r="K65" s="139"/>
      <c r="L65" s="195"/>
      <c r="M65" s="196">
        <f t="shared" si="18"/>
        <v>1</v>
      </c>
      <c r="N65" s="196"/>
      <c r="O65" s="139"/>
      <c r="P65" s="139"/>
      <c r="Q65" s="177">
        <v>52.0</v>
      </c>
      <c r="R65" s="189">
        <v>23.0</v>
      </c>
      <c r="S65" s="177">
        <f t="shared" si="9"/>
        <v>0.67</v>
      </c>
      <c r="T65" s="160">
        <f t="shared" si="10"/>
        <v>1</v>
      </c>
      <c r="U65" s="160">
        <f t="shared" si="11"/>
        <v>0.67</v>
      </c>
      <c r="V65" s="190">
        <f t="shared" si="12"/>
        <v>34.265676</v>
      </c>
      <c r="W65" s="177">
        <f t="shared" ref="W65:X65" si="50">C65/100</f>
        <v>1.09</v>
      </c>
      <c r="X65" s="177">
        <f t="shared" si="50"/>
        <v>2.04</v>
      </c>
      <c r="Y65" s="177">
        <f t="shared" si="14"/>
        <v>0.67</v>
      </c>
      <c r="Z65" s="191">
        <f t="shared" si="15"/>
        <v>1.489812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92" t="s">
        <v>91</v>
      </c>
      <c r="C66" s="192">
        <v>101.0</v>
      </c>
      <c r="D66" s="192">
        <v>204.0</v>
      </c>
      <c r="E66" s="192">
        <v>65.0</v>
      </c>
      <c r="F66" s="192">
        <f t="shared" si="5"/>
        <v>0</v>
      </c>
      <c r="G66" s="192">
        <f t="shared" si="6"/>
        <v>30.80298</v>
      </c>
      <c r="H66" s="193">
        <f t="shared" si="7"/>
        <v>30.80298</v>
      </c>
      <c r="I66" s="192">
        <v>1.0</v>
      </c>
      <c r="J66" s="194">
        <f t="shared" si="8"/>
        <v>30.80298</v>
      </c>
      <c r="K66" s="139"/>
      <c r="L66" s="195"/>
      <c r="M66" s="196">
        <f t="shared" si="18"/>
        <v>1</v>
      </c>
      <c r="N66" s="196"/>
      <c r="O66" s="139"/>
      <c r="P66" s="139"/>
      <c r="Q66" s="177">
        <v>51.0</v>
      </c>
      <c r="R66" s="189">
        <v>23.0</v>
      </c>
      <c r="S66" s="177">
        <f t="shared" si="9"/>
        <v>0.65</v>
      </c>
      <c r="T66" s="160">
        <f t="shared" si="10"/>
        <v>1</v>
      </c>
      <c r="U66" s="160">
        <f t="shared" si="11"/>
        <v>0.65</v>
      </c>
      <c r="V66" s="190">
        <f t="shared" si="12"/>
        <v>30.80298</v>
      </c>
      <c r="W66" s="177">
        <f t="shared" ref="W66:X66" si="51">C66/100</f>
        <v>1.01</v>
      </c>
      <c r="X66" s="177">
        <f t="shared" si="51"/>
        <v>2.04</v>
      </c>
      <c r="Y66" s="177">
        <f t="shared" si="14"/>
        <v>0.65</v>
      </c>
      <c r="Z66" s="191">
        <f t="shared" si="15"/>
        <v>1.33926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36.0</v>
      </c>
      <c r="B67" s="192" t="s">
        <v>91</v>
      </c>
      <c r="C67" s="192">
        <v>110.0</v>
      </c>
      <c r="D67" s="192">
        <v>204.0</v>
      </c>
      <c r="E67" s="192">
        <v>2871.0</v>
      </c>
      <c r="F67" s="192">
        <f t="shared" si="5"/>
        <v>0</v>
      </c>
      <c r="G67" s="192">
        <f t="shared" si="6"/>
        <v>1481.78052</v>
      </c>
      <c r="H67" s="193">
        <f t="shared" si="7"/>
        <v>1481.78052</v>
      </c>
      <c r="I67" s="192">
        <v>1.0</v>
      </c>
      <c r="J67" s="194">
        <f t="shared" si="8"/>
        <v>1481.78052</v>
      </c>
      <c r="K67" s="139"/>
      <c r="L67" s="195"/>
      <c r="M67" s="196">
        <f t="shared" si="18"/>
        <v>1</v>
      </c>
      <c r="N67" s="196"/>
      <c r="O67" s="139"/>
      <c r="P67" s="139"/>
      <c r="Q67" s="177">
        <v>1520.0</v>
      </c>
      <c r="R67" s="189">
        <v>23.0</v>
      </c>
      <c r="S67" s="177">
        <f t="shared" si="9"/>
        <v>28.71</v>
      </c>
      <c r="T67" s="160">
        <f t="shared" si="10"/>
        <v>1</v>
      </c>
      <c r="U67" s="160">
        <f t="shared" si="11"/>
        <v>28.71</v>
      </c>
      <c r="V67" s="190">
        <f t="shared" si="12"/>
        <v>1481.78052</v>
      </c>
      <c r="W67" s="177">
        <f t="shared" ref="W67:X67" si="52">C67/100</f>
        <v>1.1</v>
      </c>
      <c r="X67" s="177">
        <f t="shared" si="52"/>
        <v>2.04</v>
      </c>
      <c r="Y67" s="177">
        <f t="shared" si="14"/>
        <v>28.71</v>
      </c>
      <c r="Z67" s="191">
        <f t="shared" si="15"/>
        <v>64.42524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37.0</v>
      </c>
      <c r="B68" s="192" t="s">
        <v>91</v>
      </c>
      <c r="C68" s="192">
        <v>111.0</v>
      </c>
      <c r="D68" s="192">
        <v>204.0</v>
      </c>
      <c r="E68" s="192">
        <v>2867.0</v>
      </c>
      <c r="F68" s="192">
        <f t="shared" si="5"/>
        <v>0</v>
      </c>
      <c r="G68" s="192">
        <f t="shared" si="6"/>
        <v>1493.168004</v>
      </c>
      <c r="H68" s="193">
        <f t="shared" si="7"/>
        <v>1493.168004</v>
      </c>
      <c r="I68" s="192">
        <v>1.0</v>
      </c>
      <c r="J68" s="194">
        <f t="shared" si="8"/>
        <v>1493.168004</v>
      </c>
      <c r="K68" s="139"/>
      <c r="L68" s="195"/>
      <c r="M68" s="196">
        <f t="shared" si="18"/>
        <v>1</v>
      </c>
      <c r="N68" s="196"/>
      <c r="O68" s="139"/>
      <c r="P68" s="139"/>
      <c r="Q68" s="177">
        <v>1505.0</v>
      </c>
      <c r="R68" s="189">
        <v>23.0</v>
      </c>
      <c r="S68" s="177">
        <f t="shared" si="9"/>
        <v>28.67</v>
      </c>
      <c r="T68" s="160">
        <f t="shared" si="10"/>
        <v>1</v>
      </c>
      <c r="U68" s="160">
        <f t="shared" si="11"/>
        <v>28.67</v>
      </c>
      <c r="V68" s="190">
        <f t="shared" si="12"/>
        <v>1493.168004</v>
      </c>
      <c r="W68" s="177">
        <f t="shared" ref="W68:X68" si="53">C68/100</f>
        <v>1.11</v>
      </c>
      <c r="X68" s="177">
        <f t="shared" si="53"/>
        <v>2.04</v>
      </c>
      <c r="Y68" s="177">
        <f t="shared" si="14"/>
        <v>28.67</v>
      </c>
      <c r="Z68" s="191">
        <f t="shared" si="15"/>
        <v>64.920348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38.0</v>
      </c>
      <c r="B69" s="192" t="s">
        <v>91</v>
      </c>
      <c r="C69" s="192">
        <v>112.0</v>
      </c>
      <c r="D69" s="192">
        <v>204.0</v>
      </c>
      <c r="E69" s="192">
        <v>2863.0</v>
      </c>
      <c r="F69" s="192">
        <f t="shared" si="5"/>
        <v>0</v>
      </c>
      <c r="G69" s="192">
        <f t="shared" si="6"/>
        <v>1504.517952</v>
      </c>
      <c r="H69" s="193">
        <f t="shared" si="7"/>
        <v>1504.517952</v>
      </c>
      <c r="I69" s="192">
        <v>1.0</v>
      </c>
      <c r="J69" s="194">
        <f t="shared" si="8"/>
        <v>1504.517952</v>
      </c>
      <c r="K69" s="139"/>
      <c r="L69" s="195"/>
      <c r="M69" s="196">
        <f t="shared" si="18"/>
        <v>1</v>
      </c>
      <c r="N69" s="196"/>
      <c r="O69" s="139"/>
      <c r="P69" s="139"/>
      <c r="Q69" s="177">
        <v>1510.0</v>
      </c>
      <c r="R69" s="189">
        <v>23.0</v>
      </c>
      <c r="S69" s="177">
        <f t="shared" si="9"/>
        <v>28.63</v>
      </c>
      <c r="T69" s="160">
        <f t="shared" si="10"/>
        <v>1</v>
      </c>
      <c r="U69" s="160">
        <f t="shared" si="11"/>
        <v>28.63</v>
      </c>
      <c r="V69" s="190">
        <f t="shared" si="12"/>
        <v>1504.517952</v>
      </c>
      <c r="W69" s="177">
        <f t="shared" ref="W69:X69" si="54">C69/100</f>
        <v>1.12</v>
      </c>
      <c r="X69" s="177">
        <f t="shared" si="54"/>
        <v>2.04</v>
      </c>
      <c r="Y69" s="177">
        <f t="shared" si="14"/>
        <v>28.63</v>
      </c>
      <c r="Z69" s="191">
        <f t="shared" si="15"/>
        <v>65.413824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39.0</v>
      </c>
      <c r="B70" s="192" t="s">
        <v>91</v>
      </c>
      <c r="C70" s="192">
        <v>113.0</v>
      </c>
      <c r="D70" s="192">
        <v>204.0</v>
      </c>
      <c r="E70" s="192">
        <v>2860.0</v>
      </c>
      <c r="F70" s="192">
        <f t="shared" si="5"/>
        <v>0</v>
      </c>
      <c r="G70" s="192">
        <f t="shared" si="6"/>
        <v>1516.36056</v>
      </c>
      <c r="H70" s="193">
        <f t="shared" si="7"/>
        <v>1516.36056</v>
      </c>
      <c r="I70" s="192">
        <v>1.0</v>
      </c>
      <c r="J70" s="194">
        <f t="shared" si="8"/>
        <v>1516.36056</v>
      </c>
      <c r="K70" s="139"/>
      <c r="L70" s="195"/>
      <c r="M70" s="196"/>
      <c r="N70" s="196"/>
      <c r="O70" s="139"/>
      <c r="P70" s="139"/>
      <c r="Q70" s="177">
        <v>1510.0</v>
      </c>
      <c r="R70" s="189">
        <v>23.0</v>
      </c>
      <c r="S70" s="177">
        <f t="shared" si="9"/>
        <v>28.6</v>
      </c>
      <c r="T70" s="160">
        <f t="shared" si="10"/>
        <v>1</v>
      </c>
      <c r="U70" s="160">
        <f t="shared" si="11"/>
        <v>28.6</v>
      </c>
      <c r="V70" s="190">
        <f t="shared" si="12"/>
        <v>1516.36056</v>
      </c>
      <c r="W70" s="177">
        <f t="shared" ref="W70:X70" si="55">C70/100</f>
        <v>1.13</v>
      </c>
      <c r="X70" s="177">
        <f t="shared" si="55"/>
        <v>2.04</v>
      </c>
      <c r="Y70" s="177">
        <f t="shared" si="14"/>
        <v>28.6</v>
      </c>
      <c r="Z70" s="191">
        <f t="shared" si="15"/>
        <v>65.92872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40.0</v>
      </c>
      <c r="B71" s="182" t="s">
        <v>85</v>
      </c>
      <c r="C71" s="183">
        <v>77.0</v>
      </c>
      <c r="D71" s="183">
        <v>196.0</v>
      </c>
      <c r="E71" s="183">
        <v>186.0</v>
      </c>
      <c r="F71" s="183">
        <f t="shared" si="5"/>
        <v>0</v>
      </c>
      <c r="G71" s="183">
        <f t="shared" si="6"/>
        <v>54.738684</v>
      </c>
      <c r="H71" s="184">
        <f t="shared" si="7"/>
        <v>54.738684</v>
      </c>
      <c r="I71" s="183">
        <v>1.0</v>
      </c>
      <c r="J71" s="185">
        <f t="shared" si="8"/>
        <v>54.738684</v>
      </c>
      <c r="K71" s="186"/>
      <c r="L71" s="265"/>
      <c r="M71" s="266"/>
      <c r="N71" s="266"/>
      <c r="O71" s="186"/>
      <c r="P71" s="186"/>
      <c r="Q71" s="187">
        <v>70.0</v>
      </c>
      <c r="R71" s="189">
        <v>19.5</v>
      </c>
      <c r="S71" s="177">
        <f t="shared" si="9"/>
        <v>1.86</v>
      </c>
      <c r="T71" s="160">
        <f t="shared" si="10"/>
        <v>1</v>
      </c>
      <c r="U71" s="160">
        <f t="shared" si="11"/>
        <v>1.86</v>
      </c>
      <c r="V71" s="190">
        <f t="shared" si="12"/>
        <v>54.738684</v>
      </c>
      <c r="W71" s="177">
        <f t="shared" ref="W71:X71" si="56">C71/100</f>
        <v>0.77</v>
      </c>
      <c r="X71" s="177">
        <f t="shared" si="56"/>
        <v>1.96</v>
      </c>
      <c r="Y71" s="177">
        <f t="shared" si="14"/>
        <v>1.86</v>
      </c>
      <c r="Z71" s="191">
        <f t="shared" si="15"/>
        <v>2.807112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41.0</v>
      </c>
      <c r="B72" s="192" t="s">
        <v>85</v>
      </c>
      <c r="C72" s="192">
        <v>107.0</v>
      </c>
      <c r="D72" s="192">
        <v>196.0</v>
      </c>
      <c r="E72" s="192">
        <v>73.0</v>
      </c>
      <c r="F72" s="192">
        <f t="shared" si="5"/>
        <v>0</v>
      </c>
      <c r="G72" s="192">
        <f t="shared" si="6"/>
        <v>29.853642</v>
      </c>
      <c r="H72" s="193">
        <f t="shared" si="7"/>
        <v>29.853642</v>
      </c>
      <c r="I72" s="192">
        <v>1.0</v>
      </c>
      <c r="J72" s="194">
        <f t="shared" si="8"/>
        <v>29.853642</v>
      </c>
      <c r="K72" s="139"/>
      <c r="L72" s="195"/>
      <c r="M72" s="196"/>
      <c r="N72" s="196"/>
      <c r="O72" s="139"/>
      <c r="P72" s="139"/>
      <c r="Q72" s="177">
        <v>41.0</v>
      </c>
      <c r="R72" s="189">
        <v>19.5</v>
      </c>
      <c r="S72" s="177">
        <f t="shared" si="9"/>
        <v>0.73</v>
      </c>
      <c r="T72" s="160">
        <f t="shared" si="10"/>
        <v>1</v>
      </c>
      <c r="U72" s="160">
        <f t="shared" si="11"/>
        <v>0.73</v>
      </c>
      <c r="V72" s="190">
        <f t="shared" si="12"/>
        <v>29.853642</v>
      </c>
      <c r="W72" s="177">
        <f t="shared" ref="W72:X72" si="57">C72/100</f>
        <v>1.07</v>
      </c>
      <c r="X72" s="177">
        <f t="shared" si="57"/>
        <v>1.96</v>
      </c>
      <c r="Y72" s="177">
        <f t="shared" si="14"/>
        <v>0.73</v>
      </c>
      <c r="Z72" s="191">
        <f t="shared" si="15"/>
        <v>1.530956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42.0</v>
      </c>
      <c r="B73" s="192" t="s">
        <v>85</v>
      </c>
      <c r="C73" s="192">
        <v>106.0</v>
      </c>
      <c r="D73" s="192">
        <v>196.0</v>
      </c>
      <c r="E73" s="192">
        <v>69.0</v>
      </c>
      <c r="F73" s="192">
        <f t="shared" si="5"/>
        <v>0</v>
      </c>
      <c r="G73" s="192">
        <f t="shared" si="6"/>
        <v>27.954108</v>
      </c>
      <c r="H73" s="193">
        <f t="shared" si="7"/>
        <v>27.954108</v>
      </c>
      <c r="I73" s="192">
        <v>1.0</v>
      </c>
      <c r="J73" s="194">
        <f t="shared" si="8"/>
        <v>27.954108</v>
      </c>
      <c r="K73" s="139"/>
      <c r="L73" s="195"/>
      <c r="M73" s="196"/>
      <c r="N73" s="196"/>
      <c r="O73" s="139"/>
      <c r="P73" s="139"/>
      <c r="Q73" s="177">
        <v>41.0</v>
      </c>
      <c r="R73" s="189">
        <v>19.5</v>
      </c>
      <c r="S73" s="177">
        <f t="shared" si="9"/>
        <v>0.69</v>
      </c>
      <c r="T73" s="160">
        <f t="shared" si="10"/>
        <v>1</v>
      </c>
      <c r="U73" s="160">
        <f t="shared" si="11"/>
        <v>0.69</v>
      </c>
      <c r="V73" s="190">
        <f t="shared" si="12"/>
        <v>27.954108</v>
      </c>
      <c r="W73" s="177">
        <f t="shared" ref="W73:X73" si="58">C73/100</f>
        <v>1.06</v>
      </c>
      <c r="X73" s="177">
        <f t="shared" si="58"/>
        <v>1.96</v>
      </c>
      <c r="Y73" s="177">
        <f t="shared" si="14"/>
        <v>0.69</v>
      </c>
      <c r="Z73" s="191">
        <f t="shared" si="15"/>
        <v>1.433544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43.0</v>
      </c>
      <c r="B74" s="192" t="s">
        <v>85</v>
      </c>
      <c r="C74" s="192">
        <v>100.0</v>
      </c>
      <c r="D74" s="192">
        <v>196.0</v>
      </c>
      <c r="E74" s="192">
        <v>188.0</v>
      </c>
      <c r="F74" s="192">
        <f t="shared" si="5"/>
        <v>0</v>
      </c>
      <c r="G74" s="192">
        <f t="shared" si="6"/>
        <v>71.8536</v>
      </c>
      <c r="H74" s="193">
        <f t="shared" si="7"/>
        <v>71.8536</v>
      </c>
      <c r="I74" s="192">
        <v>1.0</v>
      </c>
      <c r="J74" s="194">
        <f t="shared" si="8"/>
        <v>71.8536</v>
      </c>
      <c r="K74" s="139"/>
      <c r="L74" s="195"/>
      <c r="M74" s="196"/>
      <c r="N74" s="196"/>
      <c r="O74" s="139"/>
      <c r="P74" s="139"/>
      <c r="Q74" s="177">
        <v>75.0</v>
      </c>
      <c r="R74" s="189">
        <v>19.5</v>
      </c>
      <c r="S74" s="177">
        <f t="shared" si="9"/>
        <v>1.88</v>
      </c>
      <c r="T74" s="160">
        <f t="shared" si="10"/>
        <v>1</v>
      </c>
      <c r="U74" s="160">
        <f t="shared" si="11"/>
        <v>1.88</v>
      </c>
      <c r="V74" s="190">
        <f t="shared" si="12"/>
        <v>71.8536</v>
      </c>
      <c r="W74" s="177">
        <f t="shared" ref="W74:X74" si="59">C74/100</f>
        <v>1</v>
      </c>
      <c r="X74" s="177">
        <f t="shared" si="59"/>
        <v>1.96</v>
      </c>
      <c r="Y74" s="177">
        <f t="shared" si="14"/>
        <v>1.88</v>
      </c>
      <c r="Z74" s="191">
        <f t="shared" si="15"/>
        <v>3.6848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44.0</v>
      </c>
      <c r="B75" s="192" t="s">
        <v>85</v>
      </c>
      <c r="C75" s="192">
        <v>106.0</v>
      </c>
      <c r="D75" s="192">
        <v>196.0</v>
      </c>
      <c r="E75" s="192">
        <v>212.0</v>
      </c>
      <c r="F75" s="192">
        <f t="shared" si="5"/>
        <v>0</v>
      </c>
      <c r="G75" s="192">
        <f t="shared" si="6"/>
        <v>85.887984</v>
      </c>
      <c r="H75" s="193">
        <f t="shared" si="7"/>
        <v>85.887984</v>
      </c>
      <c r="I75" s="192">
        <v>1.0</v>
      </c>
      <c r="J75" s="194">
        <f t="shared" si="8"/>
        <v>85.887984</v>
      </c>
      <c r="K75" s="139"/>
      <c r="L75" s="195"/>
      <c r="M75" s="196"/>
      <c r="N75" s="196"/>
      <c r="O75" s="139"/>
      <c r="P75" s="139"/>
      <c r="Q75" s="177">
        <v>49.0</v>
      </c>
      <c r="R75" s="189">
        <v>19.5</v>
      </c>
      <c r="S75" s="177">
        <f t="shared" si="9"/>
        <v>2.12</v>
      </c>
      <c r="T75" s="160">
        <f t="shared" si="10"/>
        <v>1</v>
      </c>
      <c r="U75" s="160">
        <f t="shared" si="11"/>
        <v>2.12</v>
      </c>
      <c r="V75" s="190">
        <f t="shared" si="12"/>
        <v>85.887984</v>
      </c>
      <c r="W75" s="177">
        <f t="shared" ref="W75:X75" si="60">C75/100</f>
        <v>1.06</v>
      </c>
      <c r="X75" s="177">
        <f t="shared" si="60"/>
        <v>1.96</v>
      </c>
      <c r="Y75" s="177">
        <f t="shared" si="14"/>
        <v>2.12</v>
      </c>
      <c r="Z75" s="191">
        <f t="shared" si="15"/>
        <v>4.404512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45.0</v>
      </c>
      <c r="B76" s="192" t="s">
        <v>85</v>
      </c>
      <c r="C76" s="192">
        <v>106.0</v>
      </c>
      <c r="D76" s="192">
        <v>195.0</v>
      </c>
      <c r="E76" s="192">
        <v>121.0</v>
      </c>
      <c r="F76" s="192">
        <f t="shared" si="5"/>
        <v>0</v>
      </c>
      <c r="G76" s="192">
        <f t="shared" si="6"/>
        <v>48.770865</v>
      </c>
      <c r="H76" s="193">
        <f t="shared" si="7"/>
        <v>48.770865</v>
      </c>
      <c r="I76" s="192">
        <v>1.0</v>
      </c>
      <c r="J76" s="194">
        <f t="shared" si="8"/>
        <v>48.770865</v>
      </c>
      <c r="K76" s="139"/>
      <c r="L76" s="195"/>
      <c r="M76" s="196"/>
      <c r="N76" s="196"/>
      <c r="O76" s="139"/>
      <c r="P76" s="139"/>
      <c r="Q76" s="177">
        <v>49.0</v>
      </c>
      <c r="R76" s="189">
        <v>19.5</v>
      </c>
      <c r="S76" s="177">
        <f t="shared" si="9"/>
        <v>1.21</v>
      </c>
      <c r="T76" s="160">
        <f t="shared" si="10"/>
        <v>1</v>
      </c>
      <c r="U76" s="160">
        <f t="shared" si="11"/>
        <v>1.21</v>
      </c>
      <c r="V76" s="190">
        <f t="shared" si="12"/>
        <v>48.770865</v>
      </c>
      <c r="W76" s="177">
        <f t="shared" ref="W76:X76" si="61">C76/100</f>
        <v>1.06</v>
      </c>
      <c r="X76" s="177">
        <f t="shared" si="61"/>
        <v>1.95</v>
      </c>
      <c r="Y76" s="177">
        <f t="shared" si="14"/>
        <v>1.21</v>
      </c>
      <c r="Z76" s="191">
        <f t="shared" si="15"/>
        <v>2.50107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46.0</v>
      </c>
      <c r="B77" s="192" t="s">
        <v>85</v>
      </c>
      <c r="C77" s="192">
        <v>108.0</v>
      </c>
      <c r="D77" s="192">
        <v>195.0</v>
      </c>
      <c r="E77" s="192">
        <v>2867.0</v>
      </c>
      <c r="F77" s="192">
        <f t="shared" si="5"/>
        <v>0</v>
      </c>
      <c r="G77" s="192">
        <f t="shared" si="6"/>
        <v>1177.39089</v>
      </c>
      <c r="H77" s="193">
        <f t="shared" si="7"/>
        <v>1177.39089</v>
      </c>
      <c r="I77" s="192">
        <v>1.0</v>
      </c>
      <c r="J77" s="194">
        <f t="shared" si="8"/>
        <v>1177.39089</v>
      </c>
      <c r="K77" s="139"/>
      <c r="L77" s="195"/>
      <c r="M77" s="196"/>
      <c r="N77" s="196"/>
      <c r="O77" s="139"/>
      <c r="P77" s="139"/>
      <c r="Q77" s="177">
        <v>1155.0</v>
      </c>
      <c r="R77" s="189">
        <v>19.5</v>
      </c>
      <c r="S77" s="177">
        <f t="shared" si="9"/>
        <v>28.67</v>
      </c>
      <c r="T77" s="160">
        <f t="shared" si="10"/>
        <v>1</v>
      </c>
      <c r="U77" s="160">
        <f t="shared" si="11"/>
        <v>28.67</v>
      </c>
      <c r="V77" s="190">
        <f t="shared" si="12"/>
        <v>1177.39089</v>
      </c>
      <c r="W77" s="177">
        <f t="shared" ref="W77:X77" si="62">C77/100</f>
        <v>1.08</v>
      </c>
      <c r="X77" s="177">
        <f t="shared" si="62"/>
        <v>1.95</v>
      </c>
      <c r="Y77" s="177">
        <f t="shared" si="14"/>
        <v>28.67</v>
      </c>
      <c r="Z77" s="191">
        <f t="shared" si="15"/>
        <v>60.37902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47.0</v>
      </c>
      <c r="B78" s="192" t="s">
        <v>85</v>
      </c>
      <c r="C78" s="192">
        <v>106.0</v>
      </c>
      <c r="D78" s="192">
        <v>195.0</v>
      </c>
      <c r="E78" s="192">
        <v>2858.0</v>
      </c>
      <c r="F78" s="192">
        <f t="shared" si="5"/>
        <v>0</v>
      </c>
      <c r="G78" s="192">
        <f t="shared" si="6"/>
        <v>1151.95977</v>
      </c>
      <c r="H78" s="193">
        <f t="shared" si="7"/>
        <v>1151.95977</v>
      </c>
      <c r="I78" s="192">
        <v>1.0</v>
      </c>
      <c r="J78" s="194">
        <f t="shared" si="8"/>
        <v>1151.95977</v>
      </c>
      <c r="K78" s="139"/>
      <c r="L78" s="195"/>
      <c r="M78" s="196"/>
      <c r="N78" s="196"/>
      <c r="O78" s="139"/>
      <c r="P78" s="139"/>
      <c r="Q78" s="177">
        <v>1175.0</v>
      </c>
      <c r="R78" s="189">
        <v>19.5</v>
      </c>
      <c r="S78" s="177">
        <f t="shared" si="9"/>
        <v>28.58</v>
      </c>
      <c r="T78" s="160">
        <f t="shared" si="10"/>
        <v>1</v>
      </c>
      <c r="U78" s="160">
        <f t="shared" si="11"/>
        <v>28.58</v>
      </c>
      <c r="V78" s="190">
        <f t="shared" si="12"/>
        <v>1151.95977</v>
      </c>
      <c r="W78" s="177">
        <f t="shared" ref="W78:X78" si="63">C78/100</f>
        <v>1.06</v>
      </c>
      <c r="X78" s="177">
        <f t="shared" si="63"/>
        <v>1.95</v>
      </c>
      <c r="Y78" s="177">
        <f t="shared" si="14"/>
        <v>28.58</v>
      </c>
      <c r="Z78" s="191">
        <f t="shared" si="15"/>
        <v>59.07486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48.0</v>
      </c>
      <c r="B79" s="192" t="s">
        <v>85</v>
      </c>
      <c r="C79" s="192">
        <v>107.0</v>
      </c>
      <c r="D79" s="192">
        <v>195.0</v>
      </c>
      <c r="E79" s="192">
        <v>2860.0</v>
      </c>
      <c r="F79" s="192">
        <f t="shared" si="5"/>
        <v>0</v>
      </c>
      <c r="G79" s="192">
        <f t="shared" si="6"/>
        <v>1163.64105</v>
      </c>
      <c r="H79" s="193">
        <f t="shared" si="7"/>
        <v>1163.64105</v>
      </c>
      <c r="I79" s="192">
        <v>1.0</v>
      </c>
      <c r="J79" s="194">
        <f t="shared" si="8"/>
        <v>1163.64105</v>
      </c>
      <c r="K79" s="139"/>
      <c r="L79" s="195"/>
      <c r="M79" s="196"/>
      <c r="N79" s="196"/>
      <c r="O79" s="139"/>
      <c r="P79" s="139"/>
      <c r="Q79" s="177">
        <v>1160.0</v>
      </c>
      <c r="R79" s="189">
        <v>19.5</v>
      </c>
      <c r="S79" s="177">
        <f t="shared" si="9"/>
        <v>28.6</v>
      </c>
      <c r="T79" s="160">
        <f t="shared" si="10"/>
        <v>1</v>
      </c>
      <c r="U79" s="160">
        <f t="shared" si="11"/>
        <v>28.6</v>
      </c>
      <c r="V79" s="190">
        <f t="shared" si="12"/>
        <v>1163.64105</v>
      </c>
      <c r="W79" s="177">
        <f t="shared" ref="W79:X79" si="64">C79/100</f>
        <v>1.07</v>
      </c>
      <c r="X79" s="177">
        <f t="shared" si="64"/>
        <v>1.95</v>
      </c>
      <c r="Y79" s="177">
        <f t="shared" si="14"/>
        <v>28.6</v>
      </c>
      <c r="Z79" s="191">
        <f t="shared" si="15"/>
        <v>59.6739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49.0</v>
      </c>
      <c r="B80" s="182" t="s">
        <v>98</v>
      </c>
      <c r="C80" s="183">
        <v>80.0</v>
      </c>
      <c r="D80" s="183">
        <v>201.0</v>
      </c>
      <c r="E80" s="183">
        <v>196.0</v>
      </c>
      <c r="F80" s="183">
        <f t="shared" si="5"/>
        <v>0</v>
      </c>
      <c r="G80" s="183">
        <f t="shared" si="6"/>
        <v>78.792</v>
      </c>
      <c r="H80" s="184">
        <f t="shared" si="7"/>
        <v>78.792</v>
      </c>
      <c r="I80" s="183">
        <v>1.0</v>
      </c>
      <c r="J80" s="185">
        <f t="shared" si="8"/>
        <v>78.792</v>
      </c>
      <c r="K80" s="186"/>
      <c r="L80" s="265"/>
      <c r="M80" s="266"/>
      <c r="N80" s="266"/>
      <c r="O80" s="186"/>
      <c r="P80" s="186"/>
      <c r="Q80" s="187">
        <v>86.0</v>
      </c>
      <c r="R80" s="141">
        <v>25.0</v>
      </c>
      <c r="S80" s="177">
        <f t="shared" si="9"/>
        <v>1.96</v>
      </c>
      <c r="T80" s="160">
        <f t="shared" si="10"/>
        <v>1</v>
      </c>
      <c r="U80" s="160">
        <f t="shared" si="11"/>
        <v>1.96</v>
      </c>
      <c r="V80" s="190">
        <f t="shared" si="12"/>
        <v>78.792</v>
      </c>
      <c r="W80" s="177">
        <f t="shared" ref="W80:X80" si="65">C80/100</f>
        <v>0.8</v>
      </c>
      <c r="X80" s="177">
        <f t="shared" si="65"/>
        <v>2.01</v>
      </c>
      <c r="Y80" s="177">
        <f t="shared" si="14"/>
        <v>1.96</v>
      </c>
      <c r="Z80" s="191">
        <f t="shared" si="15"/>
        <v>3.15168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50.0</v>
      </c>
      <c r="B81" s="192" t="s">
        <v>98</v>
      </c>
      <c r="C81" s="192">
        <v>84.0</v>
      </c>
      <c r="D81" s="192">
        <v>200.0</v>
      </c>
      <c r="E81" s="192">
        <v>43.0</v>
      </c>
      <c r="F81" s="192">
        <f t="shared" si="5"/>
        <v>0</v>
      </c>
      <c r="G81" s="192">
        <f t="shared" si="6"/>
        <v>18.06</v>
      </c>
      <c r="H81" s="193">
        <f t="shared" si="7"/>
        <v>18.06</v>
      </c>
      <c r="I81" s="192">
        <v>1.0</v>
      </c>
      <c r="J81" s="194">
        <f t="shared" si="8"/>
        <v>18.06</v>
      </c>
      <c r="K81" s="139"/>
      <c r="L81" s="195"/>
      <c r="M81" s="196"/>
      <c r="N81" s="196"/>
      <c r="O81" s="139"/>
      <c r="P81" s="139"/>
      <c r="Q81" s="177">
        <v>30.0</v>
      </c>
      <c r="R81" s="141">
        <v>25.0</v>
      </c>
      <c r="S81" s="177">
        <f t="shared" si="9"/>
        <v>0.43</v>
      </c>
      <c r="T81" s="160">
        <f t="shared" si="10"/>
        <v>1</v>
      </c>
      <c r="U81" s="160">
        <f t="shared" si="11"/>
        <v>0.43</v>
      </c>
      <c r="V81" s="190">
        <f t="shared" si="12"/>
        <v>18.06</v>
      </c>
      <c r="W81" s="177">
        <f t="shared" ref="W81:X81" si="66">C81/100</f>
        <v>0.84</v>
      </c>
      <c r="X81" s="177">
        <f t="shared" si="66"/>
        <v>2</v>
      </c>
      <c r="Y81" s="177">
        <f t="shared" si="14"/>
        <v>0.43</v>
      </c>
      <c r="Z81" s="191">
        <f t="shared" si="15"/>
        <v>0.7224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51.0</v>
      </c>
      <c r="B82" s="192" t="s">
        <v>98</v>
      </c>
      <c r="C82" s="192">
        <v>86.0</v>
      </c>
      <c r="D82" s="192">
        <v>200.0</v>
      </c>
      <c r="E82" s="192">
        <v>72.0</v>
      </c>
      <c r="F82" s="192">
        <f t="shared" si="5"/>
        <v>0</v>
      </c>
      <c r="G82" s="192">
        <f t="shared" si="6"/>
        <v>30.96</v>
      </c>
      <c r="H82" s="193">
        <f t="shared" si="7"/>
        <v>30.96</v>
      </c>
      <c r="I82" s="192">
        <v>1.0</v>
      </c>
      <c r="J82" s="194">
        <f t="shared" si="8"/>
        <v>30.96</v>
      </c>
      <c r="K82" s="139"/>
      <c r="L82" s="195"/>
      <c r="M82" s="196"/>
      <c r="N82" s="196"/>
      <c r="O82" s="139"/>
      <c r="P82" s="139"/>
      <c r="Q82" s="177">
        <v>50.0</v>
      </c>
      <c r="R82" s="141">
        <v>25.0</v>
      </c>
      <c r="S82" s="177">
        <f t="shared" si="9"/>
        <v>0.72</v>
      </c>
      <c r="T82" s="160">
        <f t="shared" si="10"/>
        <v>1</v>
      </c>
      <c r="U82" s="160">
        <f t="shared" si="11"/>
        <v>0.72</v>
      </c>
      <c r="V82" s="190">
        <f t="shared" si="12"/>
        <v>30.96</v>
      </c>
      <c r="W82" s="177">
        <f t="shared" ref="W82:X82" si="67">C82/100</f>
        <v>0.86</v>
      </c>
      <c r="X82" s="177">
        <f t="shared" si="67"/>
        <v>2</v>
      </c>
      <c r="Y82" s="177">
        <f t="shared" si="14"/>
        <v>0.72</v>
      </c>
      <c r="Z82" s="191">
        <f t="shared" si="15"/>
        <v>1.2384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52.0</v>
      </c>
      <c r="B83" s="192" t="s">
        <v>98</v>
      </c>
      <c r="C83" s="192">
        <v>71.0</v>
      </c>
      <c r="D83" s="192">
        <v>200.0</v>
      </c>
      <c r="E83" s="192">
        <v>107.0</v>
      </c>
      <c r="F83" s="192">
        <f t="shared" si="5"/>
        <v>0</v>
      </c>
      <c r="G83" s="192">
        <f t="shared" si="6"/>
        <v>37.985</v>
      </c>
      <c r="H83" s="193">
        <f t="shared" si="7"/>
        <v>37.985</v>
      </c>
      <c r="I83" s="192">
        <v>1.0</v>
      </c>
      <c r="J83" s="194">
        <f t="shared" si="8"/>
        <v>37.985</v>
      </c>
      <c r="K83" s="139"/>
      <c r="L83" s="195"/>
      <c r="M83" s="196"/>
      <c r="N83" s="196"/>
      <c r="O83" s="139"/>
      <c r="P83" s="139"/>
      <c r="Q83" s="177">
        <v>44.0</v>
      </c>
      <c r="R83" s="141">
        <v>25.0</v>
      </c>
      <c r="S83" s="177">
        <f t="shared" si="9"/>
        <v>1.07</v>
      </c>
      <c r="T83" s="160">
        <f t="shared" si="10"/>
        <v>1</v>
      </c>
      <c r="U83" s="160">
        <f t="shared" si="11"/>
        <v>1.07</v>
      </c>
      <c r="V83" s="190">
        <f t="shared" si="12"/>
        <v>37.985</v>
      </c>
      <c r="W83" s="177">
        <f t="shared" ref="W83:X83" si="68">C83/100</f>
        <v>0.71</v>
      </c>
      <c r="X83" s="177">
        <f t="shared" si="68"/>
        <v>2</v>
      </c>
      <c r="Y83" s="177">
        <f t="shared" si="14"/>
        <v>1.07</v>
      </c>
      <c r="Z83" s="191">
        <f t="shared" si="15"/>
        <v>1.5194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53.0</v>
      </c>
      <c r="B84" s="182" t="s">
        <v>24</v>
      </c>
      <c r="C84" s="183">
        <v>71.0</v>
      </c>
      <c r="D84" s="183">
        <v>199.0</v>
      </c>
      <c r="E84" s="183">
        <v>200.0</v>
      </c>
      <c r="F84" s="183">
        <f t="shared" si="5"/>
        <v>0</v>
      </c>
      <c r="G84" s="183">
        <f t="shared" si="6"/>
        <v>72.0579</v>
      </c>
      <c r="H84" s="184">
        <f t="shared" si="7"/>
        <v>72.0579</v>
      </c>
      <c r="I84" s="183">
        <v>1.0</v>
      </c>
      <c r="J84" s="185">
        <f t="shared" si="8"/>
        <v>72.0579</v>
      </c>
      <c r="K84" s="186"/>
      <c r="L84" s="265"/>
      <c r="M84" s="266"/>
      <c r="N84" s="266"/>
      <c r="O84" s="186"/>
      <c r="P84" s="186"/>
      <c r="Q84" s="187">
        <v>83.0</v>
      </c>
      <c r="R84" s="141">
        <v>25.5</v>
      </c>
      <c r="S84" s="177">
        <f t="shared" si="9"/>
        <v>2</v>
      </c>
      <c r="T84" s="160">
        <f t="shared" si="10"/>
        <v>1</v>
      </c>
      <c r="U84" s="160">
        <f t="shared" si="11"/>
        <v>2</v>
      </c>
      <c r="V84" s="190">
        <f t="shared" si="12"/>
        <v>72.0579</v>
      </c>
      <c r="W84" s="177">
        <f t="shared" ref="W84:X84" si="69">C84/100</f>
        <v>0.71</v>
      </c>
      <c r="X84" s="177">
        <f t="shared" si="69"/>
        <v>1.99</v>
      </c>
      <c r="Y84" s="177">
        <f t="shared" si="14"/>
        <v>2</v>
      </c>
      <c r="Z84" s="191">
        <f t="shared" si="15"/>
        <v>2.8258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54.0</v>
      </c>
      <c r="B85" s="192" t="s">
        <v>24</v>
      </c>
      <c r="C85" s="192">
        <v>90.0</v>
      </c>
      <c r="D85" s="192">
        <v>200.0</v>
      </c>
      <c r="E85" s="192">
        <v>206.0</v>
      </c>
      <c r="F85" s="192">
        <f t="shared" si="5"/>
        <v>0</v>
      </c>
      <c r="G85" s="192">
        <f t="shared" si="6"/>
        <v>94.554</v>
      </c>
      <c r="H85" s="193">
        <f t="shared" si="7"/>
        <v>94.554</v>
      </c>
      <c r="I85" s="192">
        <v>1.0</v>
      </c>
      <c r="J85" s="194">
        <f t="shared" si="8"/>
        <v>94.554</v>
      </c>
      <c r="K85" s="139"/>
      <c r="L85" s="195"/>
      <c r="M85" s="196"/>
      <c r="N85" s="196"/>
      <c r="O85" s="139"/>
      <c r="P85" s="139"/>
      <c r="Q85" s="177">
        <v>93.0</v>
      </c>
      <c r="R85" s="141">
        <v>25.5</v>
      </c>
      <c r="S85" s="177">
        <f t="shared" si="9"/>
        <v>2.06</v>
      </c>
      <c r="T85" s="160">
        <f t="shared" si="10"/>
        <v>1</v>
      </c>
      <c r="U85" s="160">
        <f t="shared" si="11"/>
        <v>2.06</v>
      </c>
      <c r="V85" s="190">
        <f t="shared" si="12"/>
        <v>94.554</v>
      </c>
      <c r="W85" s="177">
        <f t="shared" ref="W85:X85" si="70">C85/100</f>
        <v>0.9</v>
      </c>
      <c r="X85" s="177">
        <f t="shared" si="70"/>
        <v>2</v>
      </c>
      <c r="Y85" s="177">
        <f t="shared" si="14"/>
        <v>2.06</v>
      </c>
      <c r="Z85" s="191">
        <f t="shared" si="15"/>
        <v>3.708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55.0</v>
      </c>
      <c r="B86" s="192" t="s">
        <v>24</v>
      </c>
      <c r="C86" s="192">
        <v>99.0</v>
      </c>
      <c r="D86" s="192">
        <v>200.0</v>
      </c>
      <c r="E86" s="192">
        <v>213.0</v>
      </c>
      <c r="F86" s="192">
        <f t="shared" si="5"/>
        <v>0</v>
      </c>
      <c r="G86" s="192">
        <f t="shared" si="6"/>
        <v>107.5437</v>
      </c>
      <c r="H86" s="193">
        <f t="shared" si="7"/>
        <v>107.5437</v>
      </c>
      <c r="I86" s="192">
        <v>1.0</v>
      </c>
      <c r="J86" s="194">
        <f t="shared" si="8"/>
        <v>107.5437</v>
      </c>
      <c r="K86" s="139"/>
      <c r="L86" s="195"/>
      <c r="M86" s="196"/>
      <c r="N86" s="196"/>
      <c r="O86" s="139"/>
      <c r="P86" s="139"/>
      <c r="Q86" s="177">
        <v>108.0</v>
      </c>
      <c r="R86" s="141">
        <v>25.5</v>
      </c>
      <c r="S86" s="177">
        <f t="shared" si="9"/>
        <v>2.13</v>
      </c>
      <c r="T86" s="160">
        <f t="shared" si="10"/>
        <v>1</v>
      </c>
      <c r="U86" s="160">
        <f t="shared" si="11"/>
        <v>2.13</v>
      </c>
      <c r="V86" s="190">
        <f t="shared" si="12"/>
        <v>107.5437</v>
      </c>
      <c r="W86" s="177">
        <f t="shared" ref="W86:X86" si="71">C86/100</f>
        <v>0.99</v>
      </c>
      <c r="X86" s="177">
        <f t="shared" si="71"/>
        <v>2</v>
      </c>
      <c r="Y86" s="177">
        <f t="shared" si="14"/>
        <v>2.13</v>
      </c>
      <c r="Z86" s="191">
        <f t="shared" si="15"/>
        <v>4.2174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56.0</v>
      </c>
      <c r="B87" s="192" t="s">
        <v>24</v>
      </c>
      <c r="C87" s="192">
        <v>101.0</v>
      </c>
      <c r="D87" s="192">
        <v>201.0</v>
      </c>
      <c r="E87" s="192">
        <v>213.0</v>
      </c>
      <c r="F87" s="192">
        <f t="shared" si="5"/>
        <v>0</v>
      </c>
      <c r="G87" s="192">
        <f t="shared" si="6"/>
        <v>110.2648815</v>
      </c>
      <c r="H87" s="193">
        <f t="shared" si="7"/>
        <v>110.2648815</v>
      </c>
      <c r="I87" s="192">
        <v>1.0</v>
      </c>
      <c r="J87" s="194">
        <f t="shared" si="8"/>
        <v>110.2648815</v>
      </c>
      <c r="K87" s="139"/>
      <c r="L87" s="195"/>
      <c r="M87" s="196"/>
      <c r="N87" s="196"/>
      <c r="O87" s="139"/>
      <c r="P87" s="139"/>
      <c r="Q87" s="177">
        <v>106.0</v>
      </c>
      <c r="R87" s="141">
        <v>25.5</v>
      </c>
      <c r="S87" s="177">
        <f t="shared" si="9"/>
        <v>2.13</v>
      </c>
      <c r="T87" s="160">
        <f t="shared" si="10"/>
        <v>1</v>
      </c>
      <c r="U87" s="160">
        <f t="shared" si="11"/>
        <v>2.13</v>
      </c>
      <c r="V87" s="190">
        <f t="shared" si="12"/>
        <v>110.2648815</v>
      </c>
      <c r="W87" s="177">
        <f t="shared" ref="W87:X87" si="72">C87/100</f>
        <v>1.01</v>
      </c>
      <c r="X87" s="177">
        <f t="shared" si="72"/>
        <v>2.01</v>
      </c>
      <c r="Y87" s="177">
        <f t="shared" si="14"/>
        <v>2.13</v>
      </c>
      <c r="Z87" s="191">
        <f t="shared" si="15"/>
        <v>4.324113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57.0</v>
      </c>
      <c r="B88" s="192" t="s">
        <v>24</v>
      </c>
      <c r="C88" s="192">
        <v>103.0</v>
      </c>
      <c r="D88" s="192">
        <v>201.0</v>
      </c>
      <c r="E88" s="192">
        <v>209.0</v>
      </c>
      <c r="F88" s="192">
        <f t="shared" si="5"/>
        <v>0</v>
      </c>
      <c r="G88" s="192">
        <f t="shared" si="6"/>
        <v>110.3366385</v>
      </c>
      <c r="H88" s="193">
        <f t="shared" si="7"/>
        <v>110.3366385</v>
      </c>
      <c r="I88" s="192">
        <v>1.0</v>
      </c>
      <c r="J88" s="194">
        <f t="shared" si="8"/>
        <v>110.3366385</v>
      </c>
      <c r="K88" s="139"/>
      <c r="L88" s="195"/>
      <c r="M88" s="196"/>
      <c r="N88" s="196"/>
      <c r="O88" s="139"/>
      <c r="P88" s="139"/>
      <c r="Q88" s="177">
        <v>104.0</v>
      </c>
      <c r="R88" s="141">
        <v>25.5</v>
      </c>
      <c r="S88" s="177">
        <f t="shared" si="9"/>
        <v>2.09</v>
      </c>
      <c r="T88" s="160">
        <f t="shared" si="10"/>
        <v>1</v>
      </c>
      <c r="U88" s="160">
        <f t="shared" si="11"/>
        <v>2.09</v>
      </c>
      <c r="V88" s="190">
        <f t="shared" si="12"/>
        <v>110.3366385</v>
      </c>
      <c r="W88" s="177">
        <f t="shared" ref="W88:X88" si="73">C88/100</f>
        <v>1.03</v>
      </c>
      <c r="X88" s="177">
        <f t="shared" si="73"/>
        <v>2.01</v>
      </c>
      <c r="Y88" s="177">
        <f t="shared" si="14"/>
        <v>2.09</v>
      </c>
      <c r="Z88" s="191">
        <f t="shared" si="15"/>
        <v>4.326927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58.0</v>
      </c>
      <c r="B89" s="192" t="s">
        <v>24</v>
      </c>
      <c r="C89" s="192">
        <v>96.0</v>
      </c>
      <c r="D89" s="192">
        <v>201.0</v>
      </c>
      <c r="E89" s="192">
        <v>204.0</v>
      </c>
      <c r="F89" s="192">
        <f t="shared" si="5"/>
        <v>0</v>
      </c>
      <c r="G89" s="192">
        <f t="shared" si="6"/>
        <v>100.377792</v>
      </c>
      <c r="H89" s="193">
        <f t="shared" si="7"/>
        <v>100.377792</v>
      </c>
      <c r="I89" s="192">
        <v>1.0</v>
      </c>
      <c r="J89" s="194">
        <f t="shared" si="8"/>
        <v>100.377792</v>
      </c>
      <c r="K89" s="139"/>
      <c r="L89" s="195"/>
      <c r="M89" s="196"/>
      <c r="N89" s="196"/>
      <c r="O89" s="139"/>
      <c r="P89" s="139"/>
      <c r="Q89" s="177">
        <v>102.0</v>
      </c>
      <c r="R89" s="141">
        <v>25.5</v>
      </c>
      <c r="S89" s="177">
        <f t="shared" si="9"/>
        <v>2.04</v>
      </c>
      <c r="T89" s="160">
        <f t="shared" si="10"/>
        <v>1</v>
      </c>
      <c r="U89" s="160">
        <f t="shared" si="11"/>
        <v>2.04</v>
      </c>
      <c r="V89" s="190">
        <f t="shared" si="12"/>
        <v>100.377792</v>
      </c>
      <c r="W89" s="177">
        <f t="shared" ref="W89:X89" si="74">C89/100</f>
        <v>0.96</v>
      </c>
      <c r="X89" s="177">
        <f t="shared" si="74"/>
        <v>2.01</v>
      </c>
      <c r="Y89" s="177">
        <f t="shared" si="14"/>
        <v>2.04</v>
      </c>
      <c r="Z89" s="191">
        <f t="shared" si="15"/>
        <v>3.936384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59.0</v>
      </c>
      <c r="B90" s="192" t="s">
        <v>24</v>
      </c>
      <c r="C90" s="192">
        <v>98.0</v>
      </c>
      <c r="D90" s="192">
        <v>200.0</v>
      </c>
      <c r="E90" s="192">
        <v>199.0</v>
      </c>
      <c r="F90" s="192">
        <f t="shared" si="5"/>
        <v>0</v>
      </c>
      <c r="G90" s="192">
        <f t="shared" si="6"/>
        <v>99.4602</v>
      </c>
      <c r="H90" s="193">
        <f t="shared" si="7"/>
        <v>99.4602</v>
      </c>
      <c r="I90" s="192">
        <v>1.0</v>
      </c>
      <c r="J90" s="194">
        <f t="shared" si="8"/>
        <v>99.4602</v>
      </c>
      <c r="K90" s="139"/>
      <c r="L90" s="195"/>
      <c r="M90" s="196"/>
      <c r="N90" s="196"/>
      <c r="O90" s="139"/>
      <c r="P90" s="139"/>
      <c r="Q90" s="177">
        <v>99.0</v>
      </c>
      <c r="R90" s="141">
        <v>25.5</v>
      </c>
      <c r="S90" s="177">
        <f t="shared" si="9"/>
        <v>1.99</v>
      </c>
      <c r="T90" s="160">
        <f t="shared" si="10"/>
        <v>1</v>
      </c>
      <c r="U90" s="160">
        <f t="shared" si="11"/>
        <v>1.99</v>
      </c>
      <c r="V90" s="190">
        <f t="shared" si="12"/>
        <v>99.4602</v>
      </c>
      <c r="W90" s="177">
        <f t="shared" ref="W90:X90" si="75">C90/100</f>
        <v>0.98</v>
      </c>
      <c r="X90" s="177">
        <f t="shared" si="75"/>
        <v>2</v>
      </c>
      <c r="Y90" s="177">
        <f t="shared" si="14"/>
        <v>1.99</v>
      </c>
      <c r="Z90" s="191">
        <f t="shared" si="15"/>
        <v>3.9004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60.0</v>
      </c>
      <c r="B91" s="192" t="s">
        <v>24</v>
      </c>
      <c r="C91" s="192">
        <v>81.0</v>
      </c>
      <c r="D91" s="192">
        <v>199.0</v>
      </c>
      <c r="E91" s="192">
        <v>183.0</v>
      </c>
      <c r="F91" s="192">
        <f t="shared" si="5"/>
        <v>0</v>
      </c>
      <c r="G91" s="192">
        <f t="shared" si="6"/>
        <v>75.2193135</v>
      </c>
      <c r="H91" s="193">
        <f t="shared" si="7"/>
        <v>75.2193135</v>
      </c>
      <c r="I91" s="192">
        <v>1.0</v>
      </c>
      <c r="J91" s="194">
        <f t="shared" si="8"/>
        <v>75.2193135</v>
      </c>
      <c r="K91" s="139"/>
      <c r="L91" s="177">
        <f t="shared" ref="L91:L92" si="77">D91*25.4/1000</f>
        <v>5.0546</v>
      </c>
      <c r="M91" s="160">
        <f t="shared" ref="M91:M100" si="78">+I91</f>
        <v>1</v>
      </c>
      <c r="N91" s="160">
        <f t="shared" ref="N91:N92" si="79">M91*L91</f>
        <v>5.0546</v>
      </c>
      <c r="O91" s="139"/>
      <c r="P91" s="139"/>
      <c r="Q91" s="177">
        <v>85.0</v>
      </c>
      <c r="R91" s="141">
        <v>25.5</v>
      </c>
      <c r="S91" s="177">
        <f t="shared" si="9"/>
        <v>1.83</v>
      </c>
      <c r="T91" s="160">
        <f t="shared" si="10"/>
        <v>1</v>
      </c>
      <c r="U91" s="160">
        <f t="shared" si="11"/>
        <v>1.83</v>
      </c>
      <c r="V91" s="190">
        <f t="shared" si="12"/>
        <v>75.2193135</v>
      </c>
      <c r="W91" s="177">
        <f t="shared" ref="W91:X91" si="76">C91/100</f>
        <v>0.81</v>
      </c>
      <c r="X91" s="177">
        <f t="shared" si="76"/>
        <v>1.99</v>
      </c>
      <c r="Y91" s="177">
        <f t="shared" si="14"/>
        <v>1.83</v>
      </c>
      <c r="Z91" s="191">
        <f t="shared" si="15"/>
        <v>2.949777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61.0</v>
      </c>
      <c r="B92" s="192" t="s">
        <v>24</v>
      </c>
      <c r="C92" s="192">
        <v>90.0</v>
      </c>
      <c r="D92" s="192">
        <v>200.0</v>
      </c>
      <c r="E92" s="192">
        <v>58.0</v>
      </c>
      <c r="F92" s="192">
        <f t="shared" si="5"/>
        <v>0</v>
      </c>
      <c r="G92" s="192">
        <f t="shared" si="6"/>
        <v>26.622</v>
      </c>
      <c r="H92" s="193">
        <f t="shared" si="7"/>
        <v>26.622</v>
      </c>
      <c r="I92" s="192">
        <v>1.0</v>
      </c>
      <c r="J92" s="194">
        <f t="shared" si="8"/>
        <v>26.622</v>
      </c>
      <c r="K92" s="139"/>
      <c r="L92" s="195">
        <f t="shared" si="77"/>
        <v>5.08</v>
      </c>
      <c r="M92" s="196">
        <f t="shared" si="78"/>
        <v>1</v>
      </c>
      <c r="N92" s="196">
        <f t="shared" si="79"/>
        <v>5.08</v>
      </c>
      <c r="O92" s="139"/>
      <c r="P92" s="139"/>
      <c r="Q92" s="177">
        <v>47.0</v>
      </c>
      <c r="R92" s="141">
        <v>25.5</v>
      </c>
      <c r="S92" s="177">
        <f t="shared" si="9"/>
        <v>0.58</v>
      </c>
      <c r="T92" s="160">
        <f t="shared" si="10"/>
        <v>1</v>
      </c>
      <c r="U92" s="160">
        <f t="shared" si="11"/>
        <v>0.58</v>
      </c>
      <c r="V92" s="190">
        <f t="shared" si="12"/>
        <v>26.622</v>
      </c>
      <c r="W92" s="177">
        <f t="shared" ref="W92:X92" si="80">C92/100</f>
        <v>0.9</v>
      </c>
      <c r="X92" s="177">
        <f t="shared" si="80"/>
        <v>2</v>
      </c>
      <c r="Y92" s="177">
        <f t="shared" si="14"/>
        <v>0.58</v>
      </c>
      <c r="Z92" s="191">
        <f t="shared" si="15"/>
        <v>1.044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62.0</v>
      </c>
      <c r="B93" s="192" t="s">
        <v>24</v>
      </c>
      <c r="C93" s="192">
        <v>96.0</v>
      </c>
      <c r="D93" s="192">
        <v>199.0</v>
      </c>
      <c r="E93" s="192">
        <v>72.0</v>
      </c>
      <c r="F93" s="192">
        <f t="shared" si="5"/>
        <v>0</v>
      </c>
      <c r="G93" s="192">
        <f t="shared" si="6"/>
        <v>35.074944</v>
      </c>
      <c r="H93" s="193">
        <f t="shared" si="7"/>
        <v>35.074944</v>
      </c>
      <c r="I93" s="192">
        <v>1.0</v>
      </c>
      <c r="J93" s="194">
        <f t="shared" si="8"/>
        <v>35.074944</v>
      </c>
      <c r="K93" s="139"/>
      <c r="L93" s="195"/>
      <c r="M93" s="196">
        <f t="shared" si="78"/>
        <v>1</v>
      </c>
      <c r="N93" s="196"/>
      <c r="O93" s="139"/>
      <c r="P93" s="139"/>
      <c r="Q93" s="177">
        <v>50.0</v>
      </c>
      <c r="R93" s="141">
        <v>25.5</v>
      </c>
      <c r="S93" s="177">
        <f t="shared" si="9"/>
        <v>0.72</v>
      </c>
      <c r="T93" s="160">
        <f t="shared" si="10"/>
        <v>1</v>
      </c>
      <c r="U93" s="160">
        <f t="shared" si="11"/>
        <v>0.72</v>
      </c>
      <c r="V93" s="190">
        <f t="shared" si="12"/>
        <v>35.074944</v>
      </c>
      <c r="W93" s="177">
        <f t="shared" ref="W93:X93" si="81">C93/100</f>
        <v>0.96</v>
      </c>
      <c r="X93" s="177">
        <f t="shared" si="81"/>
        <v>1.99</v>
      </c>
      <c r="Y93" s="177">
        <f t="shared" si="14"/>
        <v>0.72</v>
      </c>
      <c r="Z93" s="191">
        <f t="shared" si="15"/>
        <v>1.375488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63.0</v>
      </c>
      <c r="B94" s="182" t="s">
        <v>99</v>
      </c>
      <c r="C94" s="183">
        <v>81.0</v>
      </c>
      <c r="D94" s="183">
        <v>220.0</v>
      </c>
      <c r="E94" s="183">
        <v>174.0</v>
      </c>
      <c r="F94" s="183">
        <f t="shared" si="5"/>
        <v>0</v>
      </c>
      <c r="G94" s="183">
        <f t="shared" si="6"/>
        <v>94.57074</v>
      </c>
      <c r="H94" s="184">
        <f t="shared" si="7"/>
        <v>94.57074</v>
      </c>
      <c r="I94" s="183">
        <v>1.0</v>
      </c>
      <c r="J94" s="185">
        <f t="shared" si="8"/>
        <v>94.57074</v>
      </c>
      <c r="K94" s="186"/>
      <c r="L94" s="265"/>
      <c r="M94" s="266">
        <f t="shared" si="78"/>
        <v>1</v>
      </c>
      <c r="N94" s="266"/>
      <c r="O94" s="186"/>
      <c r="P94" s="186"/>
      <c r="Q94" s="187">
        <v>109.0</v>
      </c>
      <c r="R94" s="141">
        <v>30.5</v>
      </c>
      <c r="S94" s="177">
        <f t="shared" si="9"/>
        <v>1.74</v>
      </c>
      <c r="T94" s="160">
        <f t="shared" si="10"/>
        <v>1</v>
      </c>
      <c r="U94" s="160">
        <f t="shared" si="11"/>
        <v>1.74</v>
      </c>
      <c r="V94" s="190">
        <f t="shared" si="12"/>
        <v>94.57074</v>
      </c>
      <c r="W94" s="177">
        <f t="shared" ref="W94:X94" si="82">C94/100</f>
        <v>0.81</v>
      </c>
      <c r="X94" s="177">
        <f t="shared" si="82"/>
        <v>2.2</v>
      </c>
      <c r="Y94" s="177">
        <f t="shared" si="14"/>
        <v>1.74</v>
      </c>
      <c r="Z94" s="191">
        <f t="shared" si="15"/>
        <v>3.10068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64.0</v>
      </c>
      <c r="B95" s="192" t="s">
        <v>99</v>
      </c>
      <c r="C95" s="192">
        <v>96.0</v>
      </c>
      <c r="D95" s="192">
        <v>221.0</v>
      </c>
      <c r="E95" s="192">
        <v>65.0</v>
      </c>
      <c r="F95" s="192">
        <f t="shared" si="5"/>
        <v>0</v>
      </c>
      <c r="G95" s="192">
        <f t="shared" si="6"/>
        <v>42.06072</v>
      </c>
      <c r="H95" s="193">
        <f t="shared" si="7"/>
        <v>42.06072</v>
      </c>
      <c r="I95" s="192">
        <v>1.0</v>
      </c>
      <c r="J95" s="194">
        <f t="shared" si="8"/>
        <v>42.06072</v>
      </c>
      <c r="K95" s="139"/>
      <c r="L95" s="195"/>
      <c r="M95" s="196">
        <f t="shared" si="78"/>
        <v>1</v>
      </c>
      <c r="N95" s="196"/>
      <c r="O95" s="139"/>
      <c r="P95" s="139"/>
      <c r="Q95" s="177">
        <v>69.0</v>
      </c>
      <c r="R95" s="141">
        <v>30.5</v>
      </c>
      <c r="S95" s="177">
        <f t="shared" si="9"/>
        <v>0.65</v>
      </c>
      <c r="T95" s="160">
        <f t="shared" si="10"/>
        <v>1</v>
      </c>
      <c r="U95" s="160">
        <f t="shared" si="11"/>
        <v>0.65</v>
      </c>
      <c r="V95" s="190">
        <f t="shared" si="12"/>
        <v>42.06072</v>
      </c>
      <c r="W95" s="177">
        <f t="shared" ref="W95:X95" si="83">C95/100</f>
        <v>0.96</v>
      </c>
      <c r="X95" s="177">
        <f t="shared" si="83"/>
        <v>2.21</v>
      </c>
      <c r="Y95" s="177">
        <f t="shared" si="14"/>
        <v>0.65</v>
      </c>
      <c r="Z95" s="191">
        <f t="shared" si="15"/>
        <v>1.37904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65.0</v>
      </c>
      <c r="B96" s="192" t="s">
        <v>99</v>
      </c>
      <c r="C96" s="192">
        <v>96.0</v>
      </c>
      <c r="D96" s="192">
        <v>221.0</v>
      </c>
      <c r="E96" s="192">
        <v>71.0</v>
      </c>
      <c r="F96" s="192">
        <f t="shared" si="5"/>
        <v>0</v>
      </c>
      <c r="G96" s="192">
        <f t="shared" si="6"/>
        <v>45.943248</v>
      </c>
      <c r="H96" s="193">
        <f t="shared" si="7"/>
        <v>45.943248</v>
      </c>
      <c r="I96" s="192">
        <v>1.0</v>
      </c>
      <c r="J96" s="194">
        <f t="shared" si="8"/>
        <v>45.943248</v>
      </c>
      <c r="K96" s="139"/>
      <c r="L96" s="195"/>
      <c r="M96" s="196">
        <f t="shared" si="78"/>
        <v>1</v>
      </c>
      <c r="N96" s="196"/>
      <c r="O96" s="139"/>
      <c r="P96" s="139"/>
      <c r="Q96" s="177">
        <v>70.0</v>
      </c>
      <c r="R96" s="141">
        <v>30.5</v>
      </c>
      <c r="S96" s="177">
        <f t="shared" si="9"/>
        <v>0.71</v>
      </c>
      <c r="T96" s="160">
        <f t="shared" si="10"/>
        <v>1</v>
      </c>
      <c r="U96" s="160">
        <f t="shared" si="11"/>
        <v>0.71</v>
      </c>
      <c r="V96" s="190">
        <f t="shared" si="12"/>
        <v>45.943248</v>
      </c>
      <c r="W96" s="177">
        <f t="shared" ref="W96:X96" si="84">C96/100</f>
        <v>0.96</v>
      </c>
      <c r="X96" s="177">
        <f t="shared" si="84"/>
        <v>2.21</v>
      </c>
      <c r="Y96" s="177">
        <f t="shared" si="14"/>
        <v>0.71</v>
      </c>
      <c r="Z96" s="191">
        <f t="shared" si="15"/>
        <v>1.506336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66.0</v>
      </c>
      <c r="B97" s="192" t="s">
        <v>99</v>
      </c>
      <c r="C97" s="192">
        <v>96.0</v>
      </c>
      <c r="D97" s="192">
        <v>220.0</v>
      </c>
      <c r="E97" s="192">
        <v>2879.0</v>
      </c>
      <c r="F97" s="192">
        <f t="shared" si="5"/>
        <v>0</v>
      </c>
      <c r="G97" s="192">
        <f t="shared" si="6"/>
        <v>1854.53664</v>
      </c>
      <c r="H97" s="193">
        <f t="shared" si="7"/>
        <v>1854.53664</v>
      </c>
      <c r="I97" s="192">
        <v>1.0</v>
      </c>
      <c r="J97" s="194">
        <f t="shared" si="8"/>
        <v>1854.53664</v>
      </c>
      <c r="K97" s="139"/>
      <c r="L97" s="195"/>
      <c r="M97" s="196">
        <f t="shared" si="78"/>
        <v>1</v>
      </c>
      <c r="N97" s="196"/>
      <c r="O97" s="139"/>
      <c r="P97" s="139"/>
      <c r="Q97" s="177">
        <v>1940.0</v>
      </c>
      <c r="R97" s="141">
        <v>30.5</v>
      </c>
      <c r="S97" s="177">
        <f t="shared" si="9"/>
        <v>28.79</v>
      </c>
      <c r="T97" s="160">
        <f t="shared" si="10"/>
        <v>1</v>
      </c>
      <c r="U97" s="160">
        <f t="shared" si="11"/>
        <v>28.79</v>
      </c>
      <c r="V97" s="190">
        <f t="shared" si="12"/>
        <v>1854.53664</v>
      </c>
      <c r="W97" s="177">
        <f t="shared" ref="W97:X97" si="85">C97/100</f>
        <v>0.96</v>
      </c>
      <c r="X97" s="177">
        <f t="shared" si="85"/>
        <v>2.2</v>
      </c>
      <c r="Y97" s="177">
        <f t="shared" si="14"/>
        <v>28.79</v>
      </c>
      <c r="Z97" s="191">
        <f t="shared" si="15"/>
        <v>60.80448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>
        <v>67.0</v>
      </c>
      <c r="B98" s="192" t="s">
        <v>99</v>
      </c>
      <c r="C98" s="192">
        <v>97.0</v>
      </c>
      <c r="D98" s="192">
        <v>220.0</v>
      </c>
      <c r="E98" s="192">
        <v>2876.0</v>
      </c>
      <c r="F98" s="192">
        <f t="shared" si="5"/>
        <v>0</v>
      </c>
      <c r="G98" s="192">
        <f t="shared" si="6"/>
        <v>1871.90212</v>
      </c>
      <c r="H98" s="193">
        <f t="shared" si="7"/>
        <v>1871.90212</v>
      </c>
      <c r="I98" s="192">
        <v>1.0</v>
      </c>
      <c r="J98" s="194">
        <f t="shared" si="8"/>
        <v>1871.90212</v>
      </c>
      <c r="K98" s="139"/>
      <c r="L98" s="195"/>
      <c r="M98" s="196">
        <f t="shared" si="78"/>
        <v>1</v>
      </c>
      <c r="N98" s="196"/>
      <c r="O98" s="139"/>
      <c r="P98" s="139"/>
      <c r="Q98" s="177">
        <v>1865.0</v>
      </c>
      <c r="R98" s="141">
        <v>30.5</v>
      </c>
      <c r="S98" s="177">
        <f t="shared" si="9"/>
        <v>28.76</v>
      </c>
      <c r="T98" s="160">
        <f t="shared" si="10"/>
        <v>1</v>
      </c>
      <c r="U98" s="160">
        <f t="shared" si="11"/>
        <v>28.76</v>
      </c>
      <c r="V98" s="190">
        <f t="shared" si="12"/>
        <v>1871.90212</v>
      </c>
      <c r="W98" s="177">
        <f t="shared" ref="W98:X98" si="86">C98/100</f>
        <v>0.97</v>
      </c>
      <c r="X98" s="177">
        <f t="shared" si="86"/>
        <v>2.2</v>
      </c>
      <c r="Y98" s="177">
        <f t="shared" si="14"/>
        <v>28.76</v>
      </c>
      <c r="Z98" s="191">
        <f t="shared" si="15"/>
        <v>61.37384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>
        <v>68.0</v>
      </c>
      <c r="B99" s="192" t="s">
        <v>99</v>
      </c>
      <c r="C99" s="192">
        <v>96.0</v>
      </c>
      <c r="D99" s="192">
        <v>220.0</v>
      </c>
      <c r="E99" s="192">
        <v>2885.0</v>
      </c>
      <c r="F99" s="192">
        <f t="shared" si="5"/>
        <v>0</v>
      </c>
      <c r="G99" s="192">
        <f t="shared" si="6"/>
        <v>1858.4016</v>
      </c>
      <c r="H99" s="193">
        <f t="shared" si="7"/>
        <v>1858.4016</v>
      </c>
      <c r="I99" s="192">
        <v>1.0</v>
      </c>
      <c r="J99" s="194">
        <f t="shared" si="8"/>
        <v>1858.4016</v>
      </c>
      <c r="K99" s="139"/>
      <c r="L99" s="195"/>
      <c r="M99" s="196">
        <f t="shared" si="78"/>
        <v>1</v>
      </c>
      <c r="N99" s="196"/>
      <c r="O99" s="139"/>
      <c r="P99" s="139"/>
      <c r="Q99" s="177">
        <v>1965.0</v>
      </c>
      <c r="R99" s="141">
        <v>30.5</v>
      </c>
      <c r="S99" s="177">
        <f t="shared" si="9"/>
        <v>28.85</v>
      </c>
      <c r="T99" s="160">
        <f t="shared" si="10"/>
        <v>1</v>
      </c>
      <c r="U99" s="160">
        <f t="shared" si="11"/>
        <v>28.85</v>
      </c>
      <c r="V99" s="190">
        <f t="shared" si="12"/>
        <v>1858.4016</v>
      </c>
      <c r="W99" s="177">
        <f t="shared" ref="W99:X99" si="87">C99/100</f>
        <v>0.96</v>
      </c>
      <c r="X99" s="177">
        <f t="shared" si="87"/>
        <v>2.2</v>
      </c>
      <c r="Y99" s="177">
        <f t="shared" si="14"/>
        <v>28.85</v>
      </c>
      <c r="Z99" s="191">
        <f t="shared" si="15"/>
        <v>60.9312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60">
        <v>69.0</v>
      </c>
      <c r="B100" s="192" t="s">
        <v>99</v>
      </c>
      <c r="C100" s="192">
        <v>96.0</v>
      </c>
      <c r="D100" s="192">
        <v>220.0</v>
      </c>
      <c r="E100" s="192">
        <v>2773.0</v>
      </c>
      <c r="F100" s="192">
        <f t="shared" si="5"/>
        <v>0</v>
      </c>
      <c r="G100" s="192">
        <f t="shared" si="6"/>
        <v>1786.25568</v>
      </c>
      <c r="H100" s="193">
        <f t="shared" si="7"/>
        <v>1786.25568</v>
      </c>
      <c r="I100" s="192">
        <v>1.0</v>
      </c>
      <c r="J100" s="194">
        <f t="shared" si="8"/>
        <v>1786.25568</v>
      </c>
      <c r="K100" s="139"/>
      <c r="L100" s="195"/>
      <c r="M100" s="196">
        <f t="shared" si="78"/>
        <v>1</v>
      </c>
      <c r="N100" s="196"/>
      <c r="O100" s="139"/>
      <c r="P100" s="139"/>
      <c r="Q100" s="177">
        <v>1875.0</v>
      </c>
      <c r="R100" s="141">
        <v>30.5</v>
      </c>
      <c r="S100" s="177">
        <f t="shared" si="9"/>
        <v>27.73</v>
      </c>
      <c r="T100" s="160">
        <f t="shared" si="10"/>
        <v>1</v>
      </c>
      <c r="U100" s="160">
        <f t="shared" si="11"/>
        <v>27.73</v>
      </c>
      <c r="V100" s="190">
        <f t="shared" si="12"/>
        <v>1786.25568</v>
      </c>
      <c r="W100" s="177">
        <f t="shared" ref="W100:X100" si="88">C100/100</f>
        <v>0.96</v>
      </c>
      <c r="X100" s="177">
        <f t="shared" si="88"/>
        <v>2.2</v>
      </c>
      <c r="Y100" s="177">
        <f t="shared" si="14"/>
        <v>27.73</v>
      </c>
      <c r="Z100" s="191">
        <f t="shared" si="15"/>
        <v>58.56576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customHeight="1">
      <c r="A101" s="160"/>
      <c r="B101" s="177"/>
      <c r="C101" s="177"/>
      <c r="D101" s="177"/>
      <c r="E101" s="177"/>
      <c r="F101" s="177"/>
      <c r="G101" s="177"/>
      <c r="H101" s="180"/>
      <c r="I101" s="160"/>
      <c r="J101" s="202">
        <f>+Q147</f>
        <v>172.4</v>
      </c>
      <c r="K101" s="139"/>
      <c r="L101" s="139"/>
      <c r="M101" s="139"/>
      <c r="N101" s="139"/>
      <c r="O101" s="139"/>
      <c r="P101" s="139"/>
      <c r="Q101" s="139"/>
      <c r="R101" s="203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customHeight="1">
      <c r="A102" s="160"/>
      <c r="B102" s="204"/>
      <c r="C102" s="204"/>
      <c r="D102" s="204"/>
      <c r="E102" s="204"/>
      <c r="F102" s="204"/>
      <c r="G102" s="204"/>
      <c r="H102" s="205"/>
      <c r="I102" s="206">
        <f>SUM(I32:I100)</f>
        <v>69</v>
      </c>
      <c r="J102" s="207">
        <f>SUM(J32:J101)</f>
        <v>40703.4947</v>
      </c>
      <c r="K102" s="208"/>
      <c r="L102" s="208"/>
      <c r="M102" s="208"/>
      <c r="N102" s="208"/>
      <c r="O102" s="208"/>
      <c r="P102" s="208"/>
      <c r="Q102" s="208"/>
      <c r="R102" s="141"/>
      <c r="S102" s="208">
        <f>SUMIFS($T$32:$T$100,$S$32:$S$100,"&gt;=3")</f>
        <v>28</v>
      </c>
      <c r="T102" s="208">
        <f t="shared" ref="T102:U102" si="90">SUM(T32:T100)</f>
        <v>69</v>
      </c>
      <c r="U102" s="208">
        <f t="shared" si="90"/>
        <v>853.87</v>
      </c>
      <c r="V102" s="208"/>
      <c r="W102" s="208"/>
      <c r="X102" s="208"/>
      <c r="Y102" s="208"/>
      <c r="Z102" s="209">
        <f>SUM(Z32:Z101)</f>
        <v>1811.973925</v>
      </c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208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201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3"/>
      <c r="S104" s="139"/>
      <c r="T104" s="139" t="s">
        <v>48</v>
      </c>
      <c r="U104" s="139" t="s">
        <v>59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0">
        <f>SUMIFS($J$32:$J$100,$S$32:$S$100,"&gt;=3")</f>
        <v>38036.07093</v>
      </c>
      <c r="U105" s="211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2">
        <f>J102-T105</f>
        <v>2667.423766</v>
      </c>
      <c r="U106" s="211">
        <f>+SUMIFS($U$32:$U$100,$S$32:$S$100,"&gt;=3")</f>
        <v>795.78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3"/>
      <c r="S107" s="139"/>
      <c r="T107" s="213">
        <f>+I102</f>
        <v>69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39.0" customHeight="1">
      <c r="A108" s="177"/>
      <c r="B108" s="160" t="s">
        <v>12</v>
      </c>
      <c r="C108" s="178" t="s">
        <v>60</v>
      </c>
      <c r="D108" s="52"/>
      <c r="E108" s="53"/>
      <c r="F108" s="179"/>
      <c r="G108" s="179"/>
      <c r="H108" s="180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1.0</v>
      </c>
      <c r="B109" s="214"/>
      <c r="C109" s="214"/>
      <c r="D109" s="214"/>
      <c r="E109" s="214"/>
      <c r="F109" s="214">
        <f t="shared" ref="F109:F122" si="91">1-VALUE(IF(RIGHT(B109, 1)="%", RIGHT(B109, 3), 0))</f>
        <v>1</v>
      </c>
      <c r="G109" s="214">
        <f t="shared" ref="G109:G122" si="92">+Q109*C109/100*D109/100*E109/100</f>
        <v>0</v>
      </c>
      <c r="H109" s="215">
        <f t="shared" ref="H109:H122" si="93">IF(F109=0, G109, F109*G109)</f>
        <v>0</v>
      </c>
      <c r="I109" s="214"/>
      <c r="J109" s="216"/>
      <c r="K109" s="139"/>
      <c r="L109" s="177">
        <f t="shared" ref="L109:L117" si="94">D109*25.4/1000</f>
        <v>0</v>
      </c>
      <c r="M109" s="160" t="str">
        <f t="shared" ref="M109:M113" si="95">+I109</f>
        <v/>
      </c>
      <c r="N109" s="160">
        <f t="shared" ref="N109:N113" si="96">M109*L109</f>
        <v>0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2.0</v>
      </c>
      <c r="B110" s="214"/>
      <c r="C110" s="214"/>
      <c r="D110" s="214"/>
      <c r="E110" s="214"/>
      <c r="F110" s="214">
        <f t="shared" si="91"/>
        <v>1</v>
      </c>
      <c r="G110" s="214">
        <f t="shared" si="92"/>
        <v>0</v>
      </c>
      <c r="H110" s="215">
        <f t="shared" si="93"/>
        <v>0</v>
      </c>
      <c r="I110" s="214"/>
      <c r="J110" s="216">
        <f t="shared" ref="J110:J122" si="97">+I110*H110</f>
        <v>0</v>
      </c>
      <c r="K110" s="139"/>
      <c r="L110" s="177">
        <f t="shared" si="94"/>
        <v>0</v>
      </c>
      <c r="M110" s="160" t="str">
        <f t="shared" si="95"/>
        <v/>
      </c>
      <c r="N110" s="160">
        <f t="shared" si="96"/>
        <v>0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54">
        <v>3.0</v>
      </c>
      <c r="B111" s="217"/>
      <c r="C111" s="217"/>
      <c r="D111" s="217"/>
      <c r="E111" s="217"/>
      <c r="F111" s="217">
        <f t="shared" si="91"/>
        <v>1</v>
      </c>
      <c r="G111" s="217">
        <f t="shared" si="92"/>
        <v>0</v>
      </c>
      <c r="H111" s="218">
        <f t="shared" si="93"/>
        <v>0</v>
      </c>
      <c r="I111" s="217"/>
      <c r="J111" s="194">
        <f t="shared" si="97"/>
        <v>0</v>
      </c>
      <c r="K111" s="139"/>
      <c r="L111" s="177">
        <f t="shared" si="94"/>
        <v>0</v>
      </c>
      <c r="M111" s="160" t="str">
        <f t="shared" si="95"/>
        <v/>
      </c>
      <c r="N111" s="160">
        <f t="shared" si="96"/>
        <v>0</v>
      </c>
      <c r="O111" s="139"/>
      <c r="P111" s="139"/>
      <c r="Q111" s="139"/>
      <c r="R111" s="139"/>
      <c r="S111" s="21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54">
        <v>4.0</v>
      </c>
      <c r="B112" s="217"/>
      <c r="C112" s="217"/>
      <c r="D112" s="217"/>
      <c r="E112" s="217"/>
      <c r="F112" s="217">
        <f t="shared" si="91"/>
        <v>1</v>
      </c>
      <c r="G112" s="217">
        <f t="shared" si="92"/>
        <v>0</v>
      </c>
      <c r="H112" s="218">
        <f t="shared" si="93"/>
        <v>0</v>
      </c>
      <c r="I112" s="217"/>
      <c r="J112" s="194">
        <f t="shared" si="97"/>
        <v>0</v>
      </c>
      <c r="K112" s="139"/>
      <c r="L112" s="177">
        <f t="shared" si="94"/>
        <v>0</v>
      </c>
      <c r="M112" s="160" t="str">
        <f t="shared" si="95"/>
        <v/>
      </c>
      <c r="N112" s="160">
        <f t="shared" si="96"/>
        <v>0</v>
      </c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54">
        <v>5.0</v>
      </c>
      <c r="B113" s="217"/>
      <c r="C113" s="217"/>
      <c r="D113" s="217"/>
      <c r="E113" s="217"/>
      <c r="F113" s="217">
        <f t="shared" si="91"/>
        <v>1</v>
      </c>
      <c r="G113" s="217">
        <f t="shared" si="92"/>
        <v>0</v>
      </c>
      <c r="H113" s="218">
        <f t="shared" si="93"/>
        <v>0</v>
      </c>
      <c r="I113" s="217"/>
      <c r="J113" s="194">
        <f t="shared" si="97"/>
        <v>0</v>
      </c>
      <c r="K113" s="139"/>
      <c r="L113" s="177">
        <f t="shared" si="94"/>
        <v>0</v>
      </c>
      <c r="M113" s="160" t="str">
        <f t="shared" si="95"/>
        <v/>
      </c>
      <c r="N113" s="160">
        <f t="shared" si="96"/>
        <v>0</v>
      </c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54">
        <v>6.0</v>
      </c>
      <c r="B114" s="217"/>
      <c r="C114" s="217"/>
      <c r="D114" s="217"/>
      <c r="E114" s="217"/>
      <c r="F114" s="217">
        <f t="shared" si="91"/>
        <v>1</v>
      </c>
      <c r="G114" s="217">
        <f t="shared" si="92"/>
        <v>0</v>
      </c>
      <c r="H114" s="218">
        <f t="shared" si="93"/>
        <v>0</v>
      </c>
      <c r="I114" s="217"/>
      <c r="J114" s="194">
        <f t="shared" si="97"/>
        <v>0</v>
      </c>
      <c r="K114" s="139"/>
      <c r="L114" s="139">
        <f t="shared" si="94"/>
        <v>0</v>
      </c>
      <c r="M114" s="220"/>
      <c r="N114" s="220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54">
        <v>7.0</v>
      </c>
      <c r="B115" s="217"/>
      <c r="C115" s="217"/>
      <c r="D115" s="217"/>
      <c r="E115" s="217"/>
      <c r="F115" s="217">
        <f t="shared" si="91"/>
        <v>1</v>
      </c>
      <c r="G115" s="217">
        <f t="shared" si="92"/>
        <v>0</v>
      </c>
      <c r="H115" s="218">
        <f t="shared" si="93"/>
        <v>0</v>
      </c>
      <c r="I115" s="217"/>
      <c r="J115" s="194">
        <f t="shared" si="97"/>
        <v>0</v>
      </c>
      <c r="K115" s="139"/>
      <c r="L115" s="139">
        <f t="shared" si="94"/>
        <v>0</v>
      </c>
      <c r="M115" s="220"/>
      <c r="N115" s="220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54">
        <v>8.0</v>
      </c>
      <c r="B116" s="217"/>
      <c r="C116" s="217"/>
      <c r="D116" s="217"/>
      <c r="E116" s="217"/>
      <c r="F116" s="217">
        <f t="shared" si="91"/>
        <v>1</v>
      </c>
      <c r="G116" s="217">
        <f t="shared" si="92"/>
        <v>0</v>
      </c>
      <c r="H116" s="218">
        <f t="shared" si="93"/>
        <v>0</v>
      </c>
      <c r="I116" s="217"/>
      <c r="J116" s="194">
        <f t="shared" si="97"/>
        <v>0</v>
      </c>
      <c r="K116" s="139"/>
      <c r="L116" s="139">
        <f t="shared" si="94"/>
        <v>0</v>
      </c>
      <c r="M116" s="220"/>
      <c r="N116" s="220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54">
        <v>9.0</v>
      </c>
      <c r="B117" s="217"/>
      <c r="C117" s="217"/>
      <c r="D117" s="217"/>
      <c r="E117" s="217"/>
      <c r="F117" s="217">
        <f t="shared" si="91"/>
        <v>1</v>
      </c>
      <c r="G117" s="217">
        <f t="shared" si="92"/>
        <v>0</v>
      </c>
      <c r="H117" s="218">
        <f t="shared" si="93"/>
        <v>0</v>
      </c>
      <c r="I117" s="217"/>
      <c r="J117" s="194">
        <f t="shared" si="97"/>
        <v>0</v>
      </c>
      <c r="K117" s="139"/>
      <c r="L117" s="139">
        <f t="shared" si="94"/>
        <v>0</v>
      </c>
      <c r="M117" s="220"/>
      <c r="N117" s="220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54">
        <v>10.0</v>
      </c>
      <c r="B118" s="192"/>
      <c r="C118" s="192"/>
      <c r="D118" s="192"/>
      <c r="E118" s="192"/>
      <c r="F118" s="192">
        <f t="shared" si="91"/>
        <v>1</v>
      </c>
      <c r="G118" s="192">
        <f t="shared" si="92"/>
        <v>0</v>
      </c>
      <c r="H118" s="193">
        <f t="shared" si="93"/>
        <v>0</v>
      </c>
      <c r="I118" s="192"/>
      <c r="J118" s="194">
        <f t="shared" si="97"/>
        <v>0</v>
      </c>
      <c r="K118" s="139"/>
      <c r="L118" s="139"/>
      <c r="M118" s="220"/>
      <c r="N118" s="220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54">
        <v>11.0</v>
      </c>
      <c r="B119" s="192"/>
      <c r="C119" s="192"/>
      <c r="D119" s="192"/>
      <c r="E119" s="192"/>
      <c r="F119" s="192">
        <f t="shared" si="91"/>
        <v>1</v>
      </c>
      <c r="G119" s="192">
        <f t="shared" si="92"/>
        <v>0</v>
      </c>
      <c r="H119" s="193">
        <f t="shared" si="93"/>
        <v>0</v>
      </c>
      <c r="I119" s="192"/>
      <c r="J119" s="194">
        <f t="shared" si="97"/>
        <v>0</v>
      </c>
      <c r="K119" s="139"/>
      <c r="L119" s="139"/>
      <c r="M119" s="220"/>
      <c r="N119" s="220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54">
        <v>12.0</v>
      </c>
      <c r="B120" s="192"/>
      <c r="C120" s="192"/>
      <c r="D120" s="192"/>
      <c r="E120" s="192"/>
      <c r="F120" s="192">
        <f t="shared" si="91"/>
        <v>1</v>
      </c>
      <c r="G120" s="192">
        <f t="shared" si="92"/>
        <v>0</v>
      </c>
      <c r="H120" s="193">
        <f t="shared" si="93"/>
        <v>0</v>
      </c>
      <c r="I120" s="192"/>
      <c r="J120" s="194">
        <f t="shared" si="97"/>
        <v>0</v>
      </c>
      <c r="K120" s="139"/>
      <c r="L120" s="139"/>
      <c r="M120" s="220"/>
      <c r="N120" s="220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54">
        <v>13.0</v>
      </c>
      <c r="B121" s="192"/>
      <c r="C121" s="192"/>
      <c r="D121" s="192"/>
      <c r="E121" s="192"/>
      <c r="F121" s="192">
        <f t="shared" si="91"/>
        <v>1</v>
      </c>
      <c r="G121" s="192">
        <f t="shared" si="92"/>
        <v>0</v>
      </c>
      <c r="H121" s="193">
        <f t="shared" si="93"/>
        <v>0</v>
      </c>
      <c r="I121" s="192"/>
      <c r="J121" s="194">
        <f t="shared" si="97"/>
        <v>0</v>
      </c>
      <c r="K121" s="139"/>
      <c r="L121" s="139"/>
      <c r="M121" s="220"/>
      <c r="N121" s="220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54">
        <v>14.0</v>
      </c>
      <c r="B122" s="192"/>
      <c r="C122" s="192"/>
      <c r="D122" s="192"/>
      <c r="E122" s="192"/>
      <c r="F122" s="192">
        <f t="shared" si="91"/>
        <v>1</v>
      </c>
      <c r="G122" s="192">
        <f t="shared" si="92"/>
        <v>0</v>
      </c>
      <c r="H122" s="193">
        <f t="shared" si="93"/>
        <v>0</v>
      </c>
      <c r="I122" s="192"/>
      <c r="J122" s="194">
        <f t="shared" si="97"/>
        <v>0</v>
      </c>
      <c r="K122" s="139"/>
      <c r="L122" s="139"/>
      <c r="M122" s="220"/>
      <c r="N122" s="220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4.75" customHeight="1">
      <c r="A123" s="160"/>
      <c r="B123" s="195"/>
      <c r="C123" s="195"/>
      <c r="D123" s="195"/>
      <c r="E123" s="195"/>
      <c r="F123" s="195"/>
      <c r="G123" s="195"/>
      <c r="H123" s="221" t="s">
        <v>38</v>
      </c>
      <c r="I123" s="195"/>
      <c r="J123" s="222">
        <f>SUM(J109:J122)</f>
        <v>0</v>
      </c>
      <c r="K123" s="139"/>
      <c r="L123" s="139"/>
      <c r="M123" s="139"/>
      <c r="N123" s="139"/>
      <c r="O123" s="139"/>
      <c r="P123" s="139"/>
      <c r="Q123" s="139"/>
      <c r="R123" s="141"/>
      <c r="S123" s="223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18.75" customHeight="1">
      <c r="A124" s="174"/>
      <c r="B124" s="144"/>
      <c r="C124" s="144"/>
      <c r="D124" s="144"/>
      <c r="E124" s="144"/>
      <c r="F124" s="144"/>
      <c r="G124" s="144"/>
      <c r="H124" s="145"/>
      <c r="I124" s="144"/>
      <c r="J124" s="175"/>
      <c r="K124" s="139"/>
      <c r="L124" s="139"/>
      <c r="M124" s="139"/>
      <c r="N124" s="139"/>
      <c r="O124" s="139"/>
      <c r="P124" s="139"/>
      <c r="Q124" s="139"/>
      <c r="R124" s="141"/>
      <c r="S124" s="223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141"/>
      <c r="S125" s="223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39"/>
      <c r="R126" s="223"/>
      <c r="S126" s="223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18.75" customHeight="1">
      <c r="A127" s="139" t="s">
        <v>39</v>
      </c>
      <c r="B127" s="139"/>
      <c r="C127" s="139"/>
      <c r="D127" s="139"/>
      <c r="E127" s="139"/>
      <c r="F127" s="139"/>
      <c r="G127" s="139"/>
      <c r="H127" s="140"/>
      <c r="I127" s="139"/>
      <c r="J127" s="139"/>
      <c r="K127" s="139"/>
      <c r="L127" s="139"/>
      <c r="M127" s="139"/>
      <c r="N127" s="139"/>
      <c r="O127" s="139"/>
      <c r="P127" s="139"/>
      <c r="Q127" s="139"/>
      <c r="R127" s="223"/>
      <c r="S127" s="223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223"/>
      <c r="S128" s="223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42.0" customHeight="1">
      <c r="A129" s="177"/>
      <c r="B129" s="160" t="s">
        <v>12</v>
      </c>
      <c r="C129" s="178" t="s">
        <v>61</v>
      </c>
      <c r="D129" s="52"/>
      <c r="E129" s="53"/>
      <c r="F129" s="224"/>
      <c r="G129" s="224"/>
      <c r="H129" s="180" t="s">
        <v>14</v>
      </c>
      <c r="I129" s="225" t="s">
        <v>15</v>
      </c>
      <c r="J129" s="160" t="s">
        <v>16</v>
      </c>
      <c r="K129" s="139"/>
      <c r="L129" s="139"/>
      <c r="M129" s="139"/>
      <c r="N129" s="139"/>
      <c r="O129" s="139"/>
      <c r="P129" s="139"/>
      <c r="Q129" s="139"/>
      <c r="R129" s="223"/>
      <c r="S129" s="223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4.75" customHeight="1">
      <c r="A130" s="160">
        <v>1.0</v>
      </c>
      <c r="B130" s="182" t="s">
        <v>79</v>
      </c>
      <c r="C130" s="198"/>
      <c r="D130" s="198"/>
      <c r="E130" s="198"/>
      <c r="F130" s="198"/>
      <c r="G130" s="198"/>
      <c r="H130" s="226">
        <v>23.0</v>
      </c>
      <c r="I130" s="198">
        <v>1.0</v>
      </c>
      <c r="J130" s="194">
        <f t="shared" ref="J130:J145" si="98">+I130*H130</f>
        <v>23</v>
      </c>
      <c r="K130" s="177"/>
      <c r="L130" s="177"/>
      <c r="M130" s="177"/>
      <c r="N130" s="177"/>
      <c r="O130" s="177"/>
      <c r="P130" s="177"/>
      <c r="Q130" s="227"/>
      <c r="R130" s="223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4.75" customHeight="1">
      <c r="A131" s="160">
        <v>2.0</v>
      </c>
      <c r="B131" s="192" t="s">
        <v>79</v>
      </c>
      <c r="C131" s="198"/>
      <c r="D131" s="198"/>
      <c r="E131" s="198"/>
      <c r="F131" s="198"/>
      <c r="G131" s="198"/>
      <c r="H131" s="226">
        <v>22.0</v>
      </c>
      <c r="I131" s="198">
        <v>1.0</v>
      </c>
      <c r="J131" s="194">
        <f t="shared" si="98"/>
        <v>22</v>
      </c>
      <c r="K131" s="177"/>
      <c r="L131" s="177"/>
      <c r="M131" s="177"/>
      <c r="N131" s="177"/>
      <c r="O131" s="177"/>
      <c r="P131" s="177"/>
      <c r="Q131" s="227"/>
      <c r="R131" s="223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4.75" customHeight="1">
      <c r="A132" s="160">
        <v>3.0</v>
      </c>
      <c r="B132" s="182" t="s">
        <v>55</v>
      </c>
      <c r="C132" s="198"/>
      <c r="D132" s="198"/>
      <c r="E132" s="198"/>
      <c r="F132" s="198"/>
      <c r="G132" s="198"/>
      <c r="H132" s="226">
        <v>34.0</v>
      </c>
      <c r="I132" s="198">
        <v>1.0</v>
      </c>
      <c r="J132" s="194">
        <f t="shared" si="98"/>
        <v>34</v>
      </c>
      <c r="K132" s="177"/>
      <c r="L132" s="177"/>
      <c r="M132" s="177"/>
      <c r="N132" s="177"/>
      <c r="O132" s="177"/>
      <c r="P132" s="177"/>
      <c r="Q132" s="227"/>
      <c r="R132" s="223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4.75" customHeight="1">
      <c r="A133" s="160">
        <v>4.0</v>
      </c>
      <c r="B133" s="192" t="s">
        <v>55</v>
      </c>
      <c r="C133" s="198"/>
      <c r="D133" s="198"/>
      <c r="E133" s="198"/>
      <c r="F133" s="198"/>
      <c r="G133" s="198"/>
      <c r="H133" s="226">
        <v>19.0</v>
      </c>
      <c r="I133" s="198">
        <v>1.0</v>
      </c>
      <c r="J133" s="194">
        <f t="shared" si="98"/>
        <v>19</v>
      </c>
      <c r="K133" s="177"/>
      <c r="L133" s="177"/>
      <c r="M133" s="177"/>
      <c r="N133" s="177"/>
      <c r="O133" s="177"/>
      <c r="P133" s="177"/>
      <c r="Q133" s="227"/>
      <c r="R133" s="223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4.75" customHeight="1">
      <c r="A134" s="160">
        <v>5.0</v>
      </c>
      <c r="B134" s="182" t="s">
        <v>26</v>
      </c>
      <c r="C134" s="198"/>
      <c r="D134" s="198"/>
      <c r="E134" s="198"/>
      <c r="F134" s="198"/>
      <c r="G134" s="198"/>
      <c r="H134" s="226">
        <v>20.0</v>
      </c>
      <c r="I134" s="198">
        <v>1.0</v>
      </c>
      <c r="J134" s="194">
        <f t="shared" si="98"/>
        <v>20</v>
      </c>
      <c r="K134" s="177"/>
      <c r="L134" s="177"/>
      <c r="M134" s="177"/>
      <c r="N134" s="177"/>
      <c r="O134" s="177"/>
      <c r="P134" s="177"/>
      <c r="Q134" s="227"/>
      <c r="R134" s="223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4.75" customHeight="1">
      <c r="A135" s="160">
        <v>6.0</v>
      </c>
      <c r="B135" s="192" t="s">
        <v>26</v>
      </c>
      <c r="C135" s="198"/>
      <c r="D135" s="198"/>
      <c r="E135" s="198"/>
      <c r="F135" s="198"/>
      <c r="G135" s="198"/>
      <c r="H135" s="226">
        <v>20.0</v>
      </c>
      <c r="I135" s="198">
        <v>1.0</v>
      </c>
      <c r="J135" s="194">
        <f t="shared" si="98"/>
        <v>20</v>
      </c>
      <c r="K135" s="177"/>
      <c r="L135" s="177"/>
      <c r="M135" s="177"/>
      <c r="N135" s="177"/>
      <c r="O135" s="177"/>
      <c r="P135" s="177"/>
      <c r="Q135" s="227"/>
      <c r="R135" s="223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4.75" customHeight="1">
      <c r="A136" s="160">
        <v>7.0</v>
      </c>
      <c r="B136" s="182" t="s">
        <v>91</v>
      </c>
      <c r="C136" s="198"/>
      <c r="D136" s="198"/>
      <c r="E136" s="198"/>
      <c r="F136" s="198"/>
      <c r="G136" s="198"/>
      <c r="H136" s="226">
        <v>40.0</v>
      </c>
      <c r="I136" s="198">
        <v>1.0</v>
      </c>
      <c r="J136" s="194">
        <f t="shared" si="98"/>
        <v>40</v>
      </c>
      <c r="K136" s="177"/>
      <c r="L136" s="177"/>
      <c r="M136" s="177"/>
      <c r="N136" s="177"/>
      <c r="O136" s="177"/>
      <c r="P136" s="177"/>
      <c r="Q136" s="227"/>
      <c r="R136" s="223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4.75" customHeight="1">
      <c r="A137" s="160">
        <v>8.0</v>
      </c>
      <c r="B137" s="192" t="s">
        <v>91</v>
      </c>
      <c r="C137" s="198"/>
      <c r="D137" s="198"/>
      <c r="E137" s="198"/>
      <c r="F137" s="198"/>
      <c r="G137" s="198"/>
      <c r="H137" s="226">
        <v>25.0</v>
      </c>
      <c r="I137" s="198">
        <v>1.0</v>
      </c>
      <c r="J137" s="194">
        <f t="shared" si="98"/>
        <v>25</v>
      </c>
      <c r="K137" s="177"/>
      <c r="L137" s="177"/>
      <c r="M137" s="177"/>
      <c r="N137" s="177"/>
      <c r="O137" s="177"/>
      <c r="P137" s="177"/>
      <c r="Q137" s="227"/>
      <c r="R137" s="223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4.75" customHeight="1">
      <c r="A138" s="160">
        <v>9.0</v>
      </c>
      <c r="B138" s="182" t="s">
        <v>85</v>
      </c>
      <c r="C138" s="198"/>
      <c r="D138" s="198"/>
      <c r="E138" s="198"/>
      <c r="F138" s="198"/>
      <c r="G138" s="198"/>
      <c r="H138" s="226">
        <v>24.0</v>
      </c>
      <c r="I138" s="198">
        <v>1.0</v>
      </c>
      <c r="J138" s="194">
        <f t="shared" si="98"/>
        <v>24</v>
      </c>
      <c r="K138" s="177"/>
      <c r="L138" s="177"/>
      <c r="M138" s="177"/>
      <c r="N138" s="177"/>
      <c r="O138" s="177"/>
      <c r="P138" s="177"/>
      <c r="Q138" s="227"/>
      <c r="R138" s="223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4.75" customHeight="1">
      <c r="A139" s="160">
        <v>10.0</v>
      </c>
      <c r="B139" s="192" t="s">
        <v>85</v>
      </c>
      <c r="C139" s="198"/>
      <c r="D139" s="198"/>
      <c r="E139" s="198"/>
      <c r="F139" s="198"/>
      <c r="G139" s="198"/>
      <c r="H139" s="226">
        <v>19.0</v>
      </c>
      <c r="I139" s="198">
        <v>1.0</v>
      </c>
      <c r="J139" s="194">
        <f t="shared" si="98"/>
        <v>19</v>
      </c>
      <c r="K139" s="177"/>
      <c r="L139" s="177"/>
      <c r="M139" s="177"/>
      <c r="N139" s="177"/>
      <c r="O139" s="177"/>
      <c r="P139" s="177"/>
      <c r="Q139" s="227"/>
      <c r="R139" s="223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4.75" customHeight="1">
      <c r="A140" s="160">
        <v>11.0</v>
      </c>
      <c r="B140" s="182" t="s">
        <v>98</v>
      </c>
      <c r="C140" s="198"/>
      <c r="D140" s="198"/>
      <c r="E140" s="198"/>
      <c r="F140" s="198"/>
      <c r="G140" s="198"/>
      <c r="H140" s="226">
        <v>23.0</v>
      </c>
      <c r="I140" s="198">
        <v>1.0</v>
      </c>
      <c r="J140" s="194">
        <f t="shared" si="98"/>
        <v>23</v>
      </c>
      <c r="K140" s="177"/>
      <c r="L140" s="177"/>
      <c r="M140" s="177"/>
      <c r="N140" s="177"/>
      <c r="O140" s="177"/>
      <c r="P140" s="177"/>
      <c r="Q140" s="227"/>
      <c r="R140" s="223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4.75" customHeight="1">
      <c r="A141" s="160">
        <v>12.0</v>
      </c>
      <c r="B141" s="192" t="s">
        <v>98</v>
      </c>
      <c r="C141" s="198"/>
      <c r="D141" s="198"/>
      <c r="E141" s="198"/>
      <c r="F141" s="198"/>
      <c r="G141" s="198"/>
      <c r="H141" s="226">
        <v>19.0</v>
      </c>
      <c r="I141" s="198">
        <v>1.0</v>
      </c>
      <c r="J141" s="194">
        <f t="shared" si="98"/>
        <v>19</v>
      </c>
      <c r="K141" s="177"/>
      <c r="L141" s="177"/>
      <c r="M141" s="177"/>
      <c r="N141" s="177"/>
      <c r="O141" s="177"/>
      <c r="P141" s="177"/>
      <c r="Q141" s="227"/>
      <c r="R141" s="223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4.75" customHeight="1">
      <c r="A142" s="160">
        <v>13.0</v>
      </c>
      <c r="B142" s="182" t="s">
        <v>24</v>
      </c>
      <c r="C142" s="198"/>
      <c r="D142" s="198"/>
      <c r="E142" s="198"/>
      <c r="F142" s="198"/>
      <c r="G142" s="198"/>
      <c r="H142" s="226">
        <v>34.0</v>
      </c>
      <c r="I142" s="198">
        <v>1.0</v>
      </c>
      <c r="J142" s="194">
        <f t="shared" si="98"/>
        <v>34</v>
      </c>
      <c r="K142" s="177"/>
      <c r="L142" s="177"/>
      <c r="M142" s="177"/>
      <c r="N142" s="177"/>
      <c r="O142" s="177"/>
      <c r="P142" s="177"/>
      <c r="Q142" s="227"/>
      <c r="R142" s="223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4.75" customHeight="1">
      <c r="A143" s="160">
        <v>14.0</v>
      </c>
      <c r="B143" s="192" t="s">
        <v>24</v>
      </c>
      <c r="C143" s="198"/>
      <c r="D143" s="198"/>
      <c r="E143" s="198"/>
      <c r="F143" s="198"/>
      <c r="G143" s="198"/>
      <c r="H143" s="226">
        <v>23.0</v>
      </c>
      <c r="I143" s="198">
        <v>1.0</v>
      </c>
      <c r="J143" s="194">
        <f t="shared" si="98"/>
        <v>23</v>
      </c>
      <c r="K143" s="177"/>
      <c r="L143" s="177"/>
      <c r="M143" s="177"/>
      <c r="N143" s="177"/>
      <c r="O143" s="177"/>
      <c r="P143" s="177"/>
      <c r="Q143" s="227"/>
      <c r="R143" s="223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4.75" customHeight="1">
      <c r="A144" s="160">
        <v>15.0</v>
      </c>
      <c r="B144" s="182" t="s">
        <v>99</v>
      </c>
      <c r="C144" s="198"/>
      <c r="D144" s="198"/>
      <c r="E144" s="198"/>
      <c r="F144" s="198"/>
      <c r="G144" s="198"/>
      <c r="H144" s="226">
        <v>51.0</v>
      </c>
      <c r="I144" s="198">
        <v>1.0</v>
      </c>
      <c r="J144" s="194">
        <f t="shared" si="98"/>
        <v>51</v>
      </c>
      <c r="K144" s="177"/>
      <c r="L144" s="177"/>
      <c r="M144" s="177"/>
      <c r="N144" s="177"/>
      <c r="O144" s="177"/>
      <c r="P144" s="177"/>
      <c r="Q144" s="227"/>
      <c r="R144" s="223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4.75" customHeight="1">
      <c r="A145" s="160">
        <v>16.0</v>
      </c>
      <c r="B145" s="192" t="s">
        <v>99</v>
      </c>
      <c r="C145" s="198"/>
      <c r="D145" s="198"/>
      <c r="E145" s="198"/>
      <c r="F145" s="198"/>
      <c r="G145" s="198"/>
      <c r="H145" s="226">
        <v>35.0</v>
      </c>
      <c r="I145" s="198">
        <v>1.0</v>
      </c>
      <c r="J145" s="194">
        <f t="shared" si="98"/>
        <v>35</v>
      </c>
      <c r="K145" s="177"/>
      <c r="L145" s="177"/>
      <c r="M145" s="177"/>
      <c r="N145" s="177"/>
      <c r="O145" s="177"/>
      <c r="P145" s="177"/>
      <c r="Q145" s="227"/>
      <c r="R145" s="223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 t="s">
        <v>38</v>
      </c>
      <c r="I146" s="139"/>
      <c r="J146" s="232">
        <f>SUM(J130:J145)</f>
        <v>431</v>
      </c>
      <c r="K146" s="233"/>
      <c r="L146" s="233"/>
      <c r="M146" s="233"/>
      <c r="N146" s="233"/>
      <c r="O146" s="233"/>
      <c r="P146" s="233"/>
      <c r="Q146" s="233"/>
      <c r="R146" s="139"/>
      <c r="S146" s="223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18.75" customHeight="1">
      <c r="A147" s="144"/>
      <c r="B147" s="144"/>
      <c r="C147" s="144"/>
      <c r="D147" s="144"/>
      <c r="E147" s="144"/>
      <c r="F147" s="144"/>
      <c r="G147" s="144"/>
      <c r="H147" s="145"/>
      <c r="I147" s="173"/>
      <c r="J147" s="204">
        <f>+J146*60%</f>
        <v>258.6</v>
      </c>
      <c r="K147" s="204"/>
      <c r="L147" s="204"/>
      <c r="M147" s="204"/>
      <c r="N147" s="204"/>
      <c r="O147" s="204"/>
      <c r="P147" s="204"/>
      <c r="Q147" s="204">
        <f>+J146*40%</f>
        <v>172.4</v>
      </c>
      <c r="R147" s="139"/>
      <c r="S147" s="223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18.75" customHeight="1">
      <c r="A148" s="139"/>
      <c r="B148" s="139"/>
      <c r="C148" s="139"/>
      <c r="D148" s="139"/>
      <c r="E148" s="139"/>
      <c r="F148" s="139"/>
      <c r="G148" s="139"/>
      <c r="H148" s="140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223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18.75" customHeight="1">
      <c r="A149" s="139"/>
      <c r="B149" s="139"/>
      <c r="C149" s="139"/>
      <c r="D149" s="139"/>
      <c r="E149" s="139"/>
      <c r="F149" s="139"/>
      <c r="G149" s="139"/>
      <c r="H149" s="140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223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19.5" customHeight="1">
      <c r="A150" s="234" t="s">
        <v>41</v>
      </c>
      <c r="B150" s="139"/>
      <c r="C150" s="139"/>
      <c r="D150" s="139"/>
      <c r="E150" s="139"/>
      <c r="F150" s="139"/>
      <c r="G150" s="139"/>
      <c r="H150" s="140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223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57.0" customHeight="1">
      <c r="A151" s="235"/>
      <c r="B151" s="236" t="s">
        <v>42</v>
      </c>
      <c r="C151" s="236" t="s">
        <v>43</v>
      </c>
      <c r="D151" s="236" t="s">
        <v>44</v>
      </c>
      <c r="E151" s="236" t="s">
        <v>45</v>
      </c>
      <c r="F151" s="236"/>
      <c r="G151" s="236"/>
      <c r="H151" s="237" t="s">
        <v>46</v>
      </c>
      <c r="I151" s="238" t="s">
        <v>47</v>
      </c>
      <c r="J151" s="139"/>
      <c r="K151" s="139"/>
      <c r="L151" s="139"/>
      <c r="M151" s="139"/>
      <c r="N151" s="139"/>
      <c r="O151" s="139"/>
      <c r="P151" s="139"/>
      <c r="Q151" s="139"/>
      <c r="R151" s="141"/>
      <c r="S151" s="223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18.75" customHeight="1">
      <c r="A152" s="239" t="s">
        <v>48</v>
      </c>
      <c r="B152" s="240">
        <f>+E25</f>
        <v>46455.7484</v>
      </c>
      <c r="C152" s="241">
        <f>+J102</f>
        <v>40703.4947</v>
      </c>
      <c r="D152" s="241">
        <f>+J123</f>
        <v>0</v>
      </c>
      <c r="E152" s="242">
        <f>J147</f>
        <v>258.6</v>
      </c>
      <c r="F152" s="242"/>
      <c r="G152" s="242"/>
      <c r="H152" s="243">
        <f>+I25</f>
        <v>3517.871898</v>
      </c>
      <c r="I152" s="244">
        <f>+B152-C152-D152-E152-H152</f>
        <v>1975.781802</v>
      </c>
      <c r="J152" s="139"/>
      <c r="K152" s="139"/>
      <c r="L152" s="139"/>
      <c r="M152" s="139"/>
      <c r="N152" s="139"/>
      <c r="O152" s="139"/>
      <c r="P152" s="139"/>
      <c r="Q152" s="139"/>
      <c r="R152" s="141"/>
      <c r="S152" s="223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19.5" customHeight="1">
      <c r="A153" s="245" t="s">
        <v>49</v>
      </c>
      <c r="B153" s="246"/>
      <c r="C153" s="247">
        <f>+C152/B152</f>
        <v>0.8761777843</v>
      </c>
      <c r="D153" s="247">
        <f>+D152/B152</f>
        <v>0</v>
      </c>
      <c r="E153" s="247">
        <f>+E152/B152</f>
        <v>0.005566587751</v>
      </c>
      <c r="F153" s="247"/>
      <c r="G153" s="247"/>
      <c r="H153" s="248">
        <f>+H152/B152</f>
        <v>0.0757252228</v>
      </c>
      <c r="I153" s="249">
        <f>+I152/B152</f>
        <v>0.04253040518</v>
      </c>
      <c r="J153" s="139"/>
      <c r="K153" s="139"/>
      <c r="L153" s="139"/>
      <c r="M153" s="139"/>
      <c r="N153" s="139"/>
      <c r="O153" s="139"/>
      <c r="P153" s="139"/>
      <c r="Q153" s="139"/>
      <c r="R153" s="141"/>
      <c r="S153" s="223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19.5" customHeight="1">
      <c r="A154" s="163"/>
      <c r="B154" s="220"/>
      <c r="C154" s="250"/>
      <c r="D154" s="250"/>
      <c r="E154" s="250"/>
      <c r="F154" s="250"/>
      <c r="G154" s="250"/>
      <c r="H154" s="251"/>
      <c r="I154" s="252"/>
      <c r="J154" s="139"/>
      <c r="K154" s="139"/>
      <c r="L154" s="139"/>
      <c r="M154" s="139"/>
      <c r="N154" s="139"/>
      <c r="O154" s="139"/>
      <c r="P154" s="139"/>
      <c r="Q154" s="139"/>
      <c r="R154" s="141"/>
      <c r="S154" s="223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18.75" customHeight="1">
      <c r="A155" s="253"/>
      <c r="B155" s="254"/>
      <c r="C155" s="254"/>
      <c r="D155" s="254" t="s">
        <v>50</v>
      </c>
      <c r="E155" s="254" t="s">
        <v>48</v>
      </c>
      <c r="F155" s="254"/>
      <c r="G155" s="254"/>
      <c r="H155" s="255">
        <f>+D152+E152+H152+I152</f>
        <v>5752.2537</v>
      </c>
      <c r="I155" s="256"/>
      <c r="J155" s="139"/>
      <c r="K155" s="139"/>
      <c r="L155" s="139"/>
      <c r="M155" s="139"/>
      <c r="N155" s="139"/>
      <c r="O155" s="139"/>
      <c r="P155" s="139"/>
      <c r="Q155" s="139"/>
      <c r="R155" s="141"/>
      <c r="S155" s="140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18.75" customHeight="1">
      <c r="A156" s="257"/>
      <c r="B156" s="139"/>
      <c r="C156" s="139"/>
      <c r="D156" s="139"/>
      <c r="E156" s="139" t="s">
        <v>49</v>
      </c>
      <c r="F156" s="139"/>
      <c r="G156" s="139"/>
      <c r="H156" s="251">
        <f>+H155/B152</f>
        <v>0.1238222157</v>
      </c>
      <c r="I156" s="258"/>
      <c r="J156" s="139"/>
      <c r="K156" s="139"/>
      <c r="L156" s="139"/>
      <c r="M156" s="139"/>
      <c r="N156" s="139"/>
      <c r="O156" s="139"/>
      <c r="P156" s="139"/>
      <c r="Q156" s="139"/>
      <c r="R156" s="141"/>
      <c r="S156" s="140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18.75" customHeight="1">
      <c r="A157" s="257"/>
      <c r="B157" s="139"/>
      <c r="C157" s="139" t="s">
        <v>51</v>
      </c>
      <c r="D157" s="139"/>
      <c r="E157" s="139"/>
      <c r="F157" s="139"/>
      <c r="G157" s="139"/>
      <c r="H157" s="140"/>
      <c r="I157" s="258"/>
      <c r="J157" s="139"/>
      <c r="K157" s="139"/>
      <c r="L157" s="139"/>
      <c r="M157" s="139"/>
      <c r="N157" s="139"/>
      <c r="O157" s="139"/>
      <c r="P157" s="139"/>
      <c r="Q157" s="139"/>
      <c r="R157" s="141"/>
      <c r="S157" s="140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18.75" customHeight="1">
      <c r="A158" s="257"/>
      <c r="B158" s="139"/>
      <c r="C158" s="139"/>
      <c r="D158" s="139" t="s">
        <v>52</v>
      </c>
      <c r="E158" s="139"/>
      <c r="F158" s="139"/>
      <c r="G158" s="139"/>
      <c r="H158" s="140">
        <f>+H157*(H155-H152)</f>
        <v>0</v>
      </c>
      <c r="I158" s="258"/>
      <c r="J158" s="139"/>
      <c r="K158" s="139"/>
      <c r="L158" s="139"/>
      <c r="M158" s="139"/>
      <c r="N158" s="139"/>
      <c r="O158" s="139"/>
      <c r="P158" s="139"/>
      <c r="Q158" s="139"/>
      <c r="R158" s="141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19.5" customHeight="1">
      <c r="A159" s="259"/>
      <c r="B159" s="260"/>
      <c r="C159" s="260"/>
      <c r="D159" s="260"/>
      <c r="E159" s="260"/>
      <c r="F159" s="260"/>
      <c r="G159" s="260"/>
      <c r="H159" s="261"/>
      <c r="I159" s="262"/>
      <c r="J159" s="139"/>
      <c r="K159" s="139"/>
      <c r="L159" s="139"/>
      <c r="M159" s="139"/>
      <c r="N159" s="139"/>
      <c r="O159" s="139"/>
      <c r="P159" s="139"/>
      <c r="Q159" s="139"/>
      <c r="R159" s="141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18.75" customHeight="1">
      <c r="A160" s="139"/>
      <c r="B160" s="139"/>
      <c r="C160" s="139"/>
      <c r="D160" s="139"/>
      <c r="E160" s="139"/>
      <c r="F160" s="139"/>
      <c r="G160" s="139"/>
      <c r="H160" s="140"/>
      <c r="I160" s="139"/>
      <c r="J160" s="139"/>
      <c r="K160" s="139"/>
      <c r="L160" s="139"/>
      <c r="M160" s="139"/>
      <c r="N160" s="139"/>
      <c r="O160" s="139"/>
      <c r="P160" s="139"/>
      <c r="Q160" s="139"/>
      <c r="R160" s="141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18.75" customHeight="1">
      <c r="A161" s="139"/>
      <c r="B161" s="139"/>
      <c r="C161" s="139"/>
      <c r="D161" s="139"/>
      <c r="E161" s="139"/>
      <c r="F161" s="139"/>
      <c r="G161" s="139"/>
      <c r="H161" s="140"/>
      <c r="I161" s="139"/>
      <c r="J161" s="139"/>
      <c r="K161" s="139"/>
      <c r="L161" s="139"/>
      <c r="M161" s="139"/>
      <c r="N161" s="139"/>
      <c r="O161" s="139"/>
      <c r="P161" s="139"/>
      <c r="Q161" s="139"/>
      <c r="R161" s="141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18.75" customHeight="1">
      <c r="A162" s="139"/>
      <c r="B162" s="139"/>
      <c r="C162" s="139"/>
      <c r="D162" s="139"/>
      <c r="E162" s="139"/>
      <c r="F162" s="139"/>
      <c r="G162" s="139"/>
      <c r="H162" s="140"/>
      <c r="I162" s="139"/>
      <c r="J162" s="139"/>
      <c r="K162" s="139"/>
      <c r="L162" s="139"/>
      <c r="M162" s="139"/>
      <c r="N162" s="139"/>
      <c r="O162" s="139"/>
      <c r="P162" s="139"/>
      <c r="Q162" s="139"/>
      <c r="R162" s="141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7"/>
      <c r="R163" s="264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7"/>
      <c r="R164" s="264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7"/>
      <c r="R165" s="264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108:E108"/>
    <mergeCell ref="C129:E12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25.5</v>
      </c>
      <c r="D8" s="155">
        <v>0.0751</v>
      </c>
      <c r="E8" s="156">
        <f>256.08*24.9</f>
        <v>6376.392</v>
      </c>
      <c r="F8" s="156"/>
      <c r="G8" s="156"/>
      <c r="H8" s="157">
        <v>24.9</v>
      </c>
      <c r="I8" s="158">
        <f t="shared" ref="I8:I24" si="1">+D8*E8</f>
        <v>478.8670392</v>
      </c>
      <c r="J8" s="159">
        <f t="shared" ref="J8:J24" si="2">E8-I8</f>
        <v>5897.524961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102</v>
      </c>
      <c r="C9" s="154">
        <v>20.5</v>
      </c>
      <c r="D9" s="155">
        <v>0.0957</v>
      </c>
      <c r="E9" s="156">
        <f>221.73*13.9</f>
        <v>3082.047</v>
      </c>
      <c r="F9" s="156"/>
      <c r="G9" s="156"/>
      <c r="H9" s="157">
        <v>13.9</v>
      </c>
      <c r="I9" s="158">
        <f t="shared" si="1"/>
        <v>294.9518979</v>
      </c>
      <c r="J9" s="159">
        <f t="shared" si="2"/>
        <v>2787.095102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24</v>
      </c>
      <c r="C10" s="154">
        <v>24.5</v>
      </c>
      <c r="D10" s="155">
        <v>0.0563</v>
      </c>
      <c r="E10" s="156">
        <f>230.53*1</f>
        <v>230.53</v>
      </c>
      <c r="F10" s="156"/>
      <c r="G10" s="156"/>
      <c r="H10" s="157">
        <v>1.0</v>
      </c>
      <c r="I10" s="158">
        <f t="shared" si="1"/>
        <v>12.978839</v>
      </c>
      <c r="J10" s="159">
        <f t="shared" si="2"/>
        <v>217.551161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73</v>
      </c>
      <c r="C11" s="154">
        <v>20.5</v>
      </c>
      <c r="D11" s="161">
        <v>0.0899</v>
      </c>
      <c r="E11" s="162">
        <f>211.64*54.8</f>
        <v>11597.872</v>
      </c>
      <c r="F11" s="162"/>
      <c r="G11" s="162"/>
      <c r="H11" s="157">
        <v>54.8</v>
      </c>
      <c r="I11" s="158">
        <f t="shared" si="1"/>
        <v>1042.648693</v>
      </c>
      <c r="J11" s="159">
        <f t="shared" si="2"/>
        <v>10555.22331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98</v>
      </c>
      <c r="C12" s="160">
        <v>24.0</v>
      </c>
      <c r="D12" s="161">
        <v>0.0563</v>
      </c>
      <c r="E12" s="162">
        <f>230.53*3.4</f>
        <v>783.802</v>
      </c>
      <c r="F12" s="162"/>
      <c r="G12" s="162"/>
      <c r="H12" s="157">
        <v>3.4</v>
      </c>
      <c r="I12" s="158">
        <f t="shared" si="1"/>
        <v>44.1280526</v>
      </c>
      <c r="J12" s="159">
        <f t="shared" si="2"/>
        <v>739.6739474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22070.643</v>
      </c>
      <c r="F25" s="168"/>
      <c r="G25" s="168"/>
      <c r="H25" s="169"/>
      <c r="I25" s="170">
        <f t="shared" ref="I25:J25" si="3">SUM(I8:I24)</f>
        <v>1873.574522</v>
      </c>
      <c r="J25" s="171">
        <f t="shared" si="3"/>
        <v>20197.06848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103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66</v>
      </c>
      <c r="C32" s="183">
        <v>81.0</v>
      </c>
      <c r="D32" s="183">
        <v>220.0</v>
      </c>
      <c r="E32" s="183">
        <v>165.0</v>
      </c>
      <c r="F32" s="183">
        <f t="shared" ref="F32:F65" si="5">VALUE(IF(RIGHT(B32, 1)="%", RIGHT(B32, 3), 0))</f>
        <v>0</v>
      </c>
      <c r="G32" s="183">
        <f t="shared" ref="G32:G65" si="6">+R32*C32/100*D32/100*E32/100</f>
        <v>76.4478</v>
      </c>
      <c r="H32" s="184">
        <f t="shared" ref="H32:H65" si="7">IF(F32=0, G32, F32*G32)</f>
        <v>76.4478</v>
      </c>
      <c r="I32" s="183">
        <v>1.0</v>
      </c>
      <c r="J32" s="185">
        <f t="shared" ref="J32:J65" si="8">+I32*H32</f>
        <v>76.4478</v>
      </c>
      <c r="K32" s="186"/>
      <c r="L32" s="187">
        <f>D32*25.4/1000</f>
        <v>5.588</v>
      </c>
      <c r="M32" s="188">
        <f>+I32</f>
        <v>1</v>
      </c>
      <c r="N32" s="188">
        <f>M32*L32</f>
        <v>5.588</v>
      </c>
      <c r="O32" s="186"/>
      <c r="P32" s="186"/>
      <c r="Q32" s="187">
        <v>98.0</v>
      </c>
      <c r="R32" s="189">
        <v>26.0</v>
      </c>
      <c r="S32" s="177">
        <f t="shared" ref="S32:S66" si="9">E32/100</f>
        <v>1.65</v>
      </c>
      <c r="T32" s="160">
        <f t="shared" ref="T32:T66" si="10">I32</f>
        <v>1</v>
      </c>
      <c r="U32" s="160">
        <f t="shared" ref="U32:U66" si="11">T32*S32</f>
        <v>1.65</v>
      </c>
      <c r="V32" s="190">
        <f t="shared" ref="V32:V65" si="12">R32*C32/100*D32/100*E32/100</f>
        <v>76.4478</v>
      </c>
      <c r="W32" s="177">
        <f t="shared" ref="W32:X32" si="4">C32/100</f>
        <v>0.81</v>
      </c>
      <c r="X32" s="177">
        <f t="shared" si="4"/>
        <v>2.2</v>
      </c>
      <c r="Y32" s="177">
        <f t="shared" ref="Y32:Y66" si="14">U32</f>
        <v>1.65</v>
      </c>
      <c r="Z32" s="191">
        <f t="shared" ref="Z32:Z66" si="15">W32*X32*Y32</f>
        <v>2.9403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66</v>
      </c>
      <c r="C33" s="192">
        <v>88.0</v>
      </c>
      <c r="D33" s="192">
        <v>220.0</v>
      </c>
      <c r="E33" s="192">
        <v>202.0</v>
      </c>
      <c r="F33" s="192">
        <f t="shared" si="5"/>
        <v>0</v>
      </c>
      <c r="G33" s="192">
        <f t="shared" si="6"/>
        <v>101.67872</v>
      </c>
      <c r="H33" s="193">
        <f t="shared" si="7"/>
        <v>101.67872</v>
      </c>
      <c r="I33" s="192">
        <v>1.0</v>
      </c>
      <c r="J33" s="194">
        <f t="shared" si="8"/>
        <v>101.67872</v>
      </c>
      <c r="K33" s="139"/>
      <c r="L33" s="177"/>
      <c r="M33" s="160"/>
      <c r="N33" s="160"/>
      <c r="O33" s="139"/>
      <c r="P33" s="139"/>
      <c r="Q33" s="177">
        <v>115.0</v>
      </c>
      <c r="R33" s="189">
        <v>26.0</v>
      </c>
      <c r="S33" s="177">
        <f t="shared" si="9"/>
        <v>2.02</v>
      </c>
      <c r="T33" s="160">
        <f t="shared" si="10"/>
        <v>1</v>
      </c>
      <c r="U33" s="160">
        <f t="shared" si="11"/>
        <v>2.02</v>
      </c>
      <c r="V33" s="190">
        <f t="shared" si="12"/>
        <v>101.67872</v>
      </c>
      <c r="W33" s="177">
        <f t="shared" ref="W33:X33" si="13">C33/100</f>
        <v>0.88</v>
      </c>
      <c r="X33" s="177">
        <f t="shared" si="13"/>
        <v>2.2</v>
      </c>
      <c r="Y33" s="177">
        <f t="shared" si="14"/>
        <v>2.02</v>
      </c>
      <c r="Z33" s="191">
        <f t="shared" si="15"/>
        <v>3.91072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66</v>
      </c>
      <c r="C34" s="192">
        <v>103.0</v>
      </c>
      <c r="D34" s="192">
        <v>220.0</v>
      </c>
      <c r="E34" s="192">
        <v>177.0</v>
      </c>
      <c r="F34" s="192">
        <f t="shared" si="5"/>
        <v>0</v>
      </c>
      <c r="G34" s="192">
        <f t="shared" si="6"/>
        <v>104.28132</v>
      </c>
      <c r="H34" s="193">
        <f t="shared" si="7"/>
        <v>104.28132</v>
      </c>
      <c r="I34" s="192">
        <v>1.0</v>
      </c>
      <c r="J34" s="194">
        <f t="shared" si="8"/>
        <v>104.28132</v>
      </c>
      <c r="K34" s="139"/>
      <c r="L34" s="177">
        <f t="shared" ref="L34:L56" si="17">D34*25.4/1000</f>
        <v>5.588</v>
      </c>
      <c r="M34" s="160">
        <f t="shared" ref="M34:M60" si="18">+I34</f>
        <v>1</v>
      </c>
      <c r="N34" s="160">
        <f t="shared" ref="N34:N56" si="19">M34*L34</f>
        <v>5.588</v>
      </c>
      <c r="O34" s="139"/>
      <c r="P34" s="139"/>
      <c r="Q34" s="177">
        <v>114.0</v>
      </c>
      <c r="R34" s="189">
        <v>26.0</v>
      </c>
      <c r="S34" s="177">
        <f t="shared" si="9"/>
        <v>1.77</v>
      </c>
      <c r="T34" s="160">
        <f t="shared" si="10"/>
        <v>1</v>
      </c>
      <c r="U34" s="160">
        <f t="shared" si="11"/>
        <v>1.77</v>
      </c>
      <c r="V34" s="190">
        <f t="shared" si="12"/>
        <v>104.28132</v>
      </c>
      <c r="W34" s="177">
        <f t="shared" ref="W34:X34" si="16">C34/100</f>
        <v>1.03</v>
      </c>
      <c r="X34" s="177">
        <f t="shared" si="16"/>
        <v>2.2</v>
      </c>
      <c r="Y34" s="177">
        <f t="shared" si="14"/>
        <v>1.77</v>
      </c>
      <c r="Z34" s="191">
        <f t="shared" si="15"/>
        <v>4.01082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66</v>
      </c>
      <c r="C35" s="192">
        <v>102.0</v>
      </c>
      <c r="D35" s="192">
        <v>220.0</v>
      </c>
      <c r="E35" s="192">
        <v>50.0</v>
      </c>
      <c r="F35" s="192">
        <f t="shared" si="5"/>
        <v>0</v>
      </c>
      <c r="G35" s="192">
        <f t="shared" si="6"/>
        <v>29.172</v>
      </c>
      <c r="H35" s="193">
        <f t="shared" si="7"/>
        <v>29.172</v>
      </c>
      <c r="I35" s="192">
        <v>1.0</v>
      </c>
      <c r="J35" s="194">
        <f t="shared" si="8"/>
        <v>29.172</v>
      </c>
      <c r="K35" s="139"/>
      <c r="L35" s="177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7">
        <v>60.0</v>
      </c>
      <c r="R35" s="189">
        <v>26.0</v>
      </c>
      <c r="S35" s="177">
        <f t="shared" si="9"/>
        <v>0.5</v>
      </c>
      <c r="T35" s="160">
        <f t="shared" si="10"/>
        <v>1</v>
      </c>
      <c r="U35" s="160">
        <f t="shared" si="11"/>
        <v>0.5</v>
      </c>
      <c r="V35" s="190">
        <f t="shared" si="12"/>
        <v>29.172</v>
      </c>
      <c r="W35" s="177">
        <f t="shared" ref="W35:X35" si="20">C35/100</f>
        <v>1.02</v>
      </c>
      <c r="X35" s="177">
        <f t="shared" si="20"/>
        <v>2.2</v>
      </c>
      <c r="Y35" s="177">
        <f t="shared" si="14"/>
        <v>0.5</v>
      </c>
      <c r="Z35" s="191">
        <f t="shared" si="15"/>
        <v>1.122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66</v>
      </c>
      <c r="C36" s="192">
        <v>100.0</v>
      </c>
      <c r="D36" s="192">
        <v>220.0</v>
      </c>
      <c r="E36" s="192">
        <v>96.0</v>
      </c>
      <c r="F36" s="192">
        <f t="shared" si="5"/>
        <v>0</v>
      </c>
      <c r="G36" s="192">
        <f t="shared" si="6"/>
        <v>54.912</v>
      </c>
      <c r="H36" s="193">
        <f t="shared" si="7"/>
        <v>54.912</v>
      </c>
      <c r="I36" s="192">
        <v>1.0</v>
      </c>
      <c r="J36" s="194">
        <f t="shared" si="8"/>
        <v>54.912</v>
      </c>
      <c r="K36" s="139"/>
      <c r="L36" s="177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7">
        <v>63.0</v>
      </c>
      <c r="R36" s="189">
        <v>26.0</v>
      </c>
      <c r="S36" s="177">
        <f t="shared" si="9"/>
        <v>0.96</v>
      </c>
      <c r="T36" s="160">
        <f t="shared" si="10"/>
        <v>1</v>
      </c>
      <c r="U36" s="160">
        <f t="shared" si="11"/>
        <v>0.96</v>
      </c>
      <c r="V36" s="190">
        <f t="shared" si="12"/>
        <v>54.912</v>
      </c>
      <c r="W36" s="177">
        <f t="shared" ref="W36:X36" si="21">C36/100</f>
        <v>1</v>
      </c>
      <c r="X36" s="177">
        <f t="shared" si="21"/>
        <v>2.2</v>
      </c>
      <c r="Y36" s="177">
        <f t="shared" si="14"/>
        <v>0.96</v>
      </c>
      <c r="Z36" s="191">
        <f t="shared" si="15"/>
        <v>2.112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66</v>
      </c>
      <c r="C37" s="192">
        <v>108.0</v>
      </c>
      <c r="D37" s="192">
        <v>220.0</v>
      </c>
      <c r="E37" s="192">
        <v>2869.0</v>
      </c>
      <c r="F37" s="192">
        <f t="shared" si="5"/>
        <v>0</v>
      </c>
      <c r="G37" s="192">
        <f t="shared" si="6"/>
        <v>1772.35344</v>
      </c>
      <c r="H37" s="193">
        <f t="shared" si="7"/>
        <v>1772.35344</v>
      </c>
      <c r="I37" s="192">
        <v>1.0</v>
      </c>
      <c r="J37" s="194">
        <f t="shared" si="8"/>
        <v>1772.35344</v>
      </c>
      <c r="K37" s="139"/>
      <c r="L37" s="177">
        <f t="shared" si="17"/>
        <v>5.588</v>
      </c>
      <c r="M37" s="160">
        <f t="shared" si="18"/>
        <v>1</v>
      </c>
      <c r="N37" s="160">
        <f t="shared" si="19"/>
        <v>5.588</v>
      </c>
      <c r="O37" s="139"/>
      <c r="P37" s="139"/>
      <c r="Q37" s="177">
        <v>1780.0</v>
      </c>
      <c r="R37" s="189">
        <v>26.0</v>
      </c>
      <c r="S37" s="177">
        <f t="shared" si="9"/>
        <v>28.69</v>
      </c>
      <c r="T37" s="160">
        <f t="shared" si="10"/>
        <v>1</v>
      </c>
      <c r="U37" s="160">
        <f t="shared" si="11"/>
        <v>28.69</v>
      </c>
      <c r="V37" s="190">
        <f t="shared" si="12"/>
        <v>1772.35344</v>
      </c>
      <c r="W37" s="177">
        <f t="shared" ref="W37:X37" si="22">C37/100</f>
        <v>1.08</v>
      </c>
      <c r="X37" s="177">
        <f t="shared" si="22"/>
        <v>2.2</v>
      </c>
      <c r="Y37" s="177">
        <f t="shared" si="14"/>
        <v>28.69</v>
      </c>
      <c r="Z37" s="191">
        <f t="shared" si="15"/>
        <v>68.16744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66</v>
      </c>
      <c r="C38" s="192">
        <v>107.0</v>
      </c>
      <c r="D38" s="192">
        <v>220.0</v>
      </c>
      <c r="E38" s="192">
        <v>2868.0</v>
      </c>
      <c r="F38" s="192">
        <f t="shared" si="5"/>
        <v>0</v>
      </c>
      <c r="G38" s="192">
        <f t="shared" si="6"/>
        <v>1755.33072</v>
      </c>
      <c r="H38" s="193">
        <f t="shared" si="7"/>
        <v>1755.33072</v>
      </c>
      <c r="I38" s="192">
        <v>1.0</v>
      </c>
      <c r="J38" s="194">
        <f t="shared" si="8"/>
        <v>1755.33072</v>
      </c>
      <c r="K38" s="139"/>
      <c r="L38" s="177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7">
        <v>1775.0</v>
      </c>
      <c r="R38" s="189">
        <v>26.0</v>
      </c>
      <c r="S38" s="177">
        <f t="shared" si="9"/>
        <v>28.68</v>
      </c>
      <c r="T38" s="160">
        <f t="shared" si="10"/>
        <v>1</v>
      </c>
      <c r="U38" s="160">
        <f t="shared" si="11"/>
        <v>28.68</v>
      </c>
      <c r="V38" s="190">
        <f t="shared" si="12"/>
        <v>1755.33072</v>
      </c>
      <c r="W38" s="177">
        <f t="shared" ref="W38:X38" si="23">C38/100</f>
        <v>1.07</v>
      </c>
      <c r="X38" s="177">
        <f t="shared" si="23"/>
        <v>2.2</v>
      </c>
      <c r="Y38" s="177">
        <f t="shared" si="14"/>
        <v>28.68</v>
      </c>
      <c r="Z38" s="191">
        <f t="shared" si="15"/>
        <v>67.51272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66</v>
      </c>
      <c r="C39" s="192">
        <v>104.0</v>
      </c>
      <c r="D39" s="192">
        <v>220.0</v>
      </c>
      <c r="E39" s="192">
        <v>2870.0</v>
      </c>
      <c r="F39" s="192">
        <f t="shared" si="5"/>
        <v>0</v>
      </c>
      <c r="G39" s="192">
        <f t="shared" si="6"/>
        <v>1707.3056</v>
      </c>
      <c r="H39" s="193">
        <f t="shared" si="7"/>
        <v>1707.3056</v>
      </c>
      <c r="I39" s="192">
        <v>1.0</v>
      </c>
      <c r="J39" s="194">
        <f t="shared" si="8"/>
        <v>1707.3056</v>
      </c>
      <c r="K39" s="139"/>
      <c r="L39" s="177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7">
        <v>1750.0</v>
      </c>
      <c r="R39" s="189">
        <v>26.0</v>
      </c>
      <c r="S39" s="177">
        <f t="shared" si="9"/>
        <v>28.7</v>
      </c>
      <c r="T39" s="160">
        <f t="shared" si="10"/>
        <v>1</v>
      </c>
      <c r="U39" s="160">
        <f t="shared" si="11"/>
        <v>28.7</v>
      </c>
      <c r="V39" s="190">
        <f t="shared" si="12"/>
        <v>1707.3056</v>
      </c>
      <c r="W39" s="177">
        <f t="shared" ref="W39:X39" si="24">C39/100</f>
        <v>1.04</v>
      </c>
      <c r="X39" s="177">
        <f t="shared" si="24"/>
        <v>2.2</v>
      </c>
      <c r="Y39" s="177">
        <f t="shared" si="14"/>
        <v>28.7</v>
      </c>
      <c r="Z39" s="191">
        <f t="shared" si="15"/>
        <v>65.6656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82" t="s">
        <v>102</v>
      </c>
      <c r="C40" s="183">
        <v>81.0</v>
      </c>
      <c r="D40" s="183">
        <v>204.0</v>
      </c>
      <c r="E40" s="183">
        <v>197.0</v>
      </c>
      <c r="F40" s="183">
        <f t="shared" si="5"/>
        <v>0</v>
      </c>
      <c r="G40" s="183">
        <f t="shared" si="6"/>
        <v>66.732174</v>
      </c>
      <c r="H40" s="184">
        <f t="shared" si="7"/>
        <v>66.732174</v>
      </c>
      <c r="I40" s="183">
        <v>1.0</v>
      </c>
      <c r="J40" s="185">
        <f t="shared" si="8"/>
        <v>66.732174</v>
      </c>
      <c r="K40" s="186"/>
      <c r="L40" s="187">
        <f t="shared" si="17"/>
        <v>5.1816</v>
      </c>
      <c r="M40" s="188">
        <f t="shared" si="18"/>
        <v>1</v>
      </c>
      <c r="N40" s="188">
        <f t="shared" si="19"/>
        <v>5.1816</v>
      </c>
      <c r="O40" s="186"/>
      <c r="P40" s="186"/>
      <c r="Q40" s="187">
        <v>80.0</v>
      </c>
      <c r="R40" s="189">
        <v>20.5</v>
      </c>
      <c r="S40" s="177">
        <f t="shared" si="9"/>
        <v>1.97</v>
      </c>
      <c r="T40" s="160">
        <f t="shared" si="10"/>
        <v>1</v>
      </c>
      <c r="U40" s="160">
        <f t="shared" si="11"/>
        <v>1.97</v>
      </c>
      <c r="V40" s="190">
        <f t="shared" si="12"/>
        <v>66.732174</v>
      </c>
      <c r="W40" s="177">
        <f t="shared" ref="W40:X40" si="25">C40/100</f>
        <v>0.81</v>
      </c>
      <c r="X40" s="177">
        <f t="shared" si="25"/>
        <v>2.04</v>
      </c>
      <c r="Y40" s="177">
        <f t="shared" si="14"/>
        <v>1.97</v>
      </c>
      <c r="Z40" s="191">
        <f t="shared" si="15"/>
        <v>3.255228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102</v>
      </c>
      <c r="C41" s="192">
        <v>101.0</v>
      </c>
      <c r="D41" s="192">
        <v>205.0</v>
      </c>
      <c r="E41" s="192">
        <v>71.0</v>
      </c>
      <c r="F41" s="192">
        <f t="shared" si="5"/>
        <v>0</v>
      </c>
      <c r="G41" s="192">
        <f t="shared" si="6"/>
        <v>30.1361275</v>
      </c>
      <c r="H41" s="193">
        <f t="shared" si="7"/>
        <v>30.1361275</v>
      </c>
      <c r="I41" s="192">
        <v>1.0</v>
      </c>
      <c r="J41" s="194">
        <f t="shared" si="8"/>
        <v>30.1361275</v>
      </c>
      <c r="K41" s="139"/>
      <c r="L41" s="177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7">
        <v>55.0</v>
      </c>
      <c r="R41" s="189">
        <v>20.5</v>
      </c>
      <c r="S41" s="177">
        <f t="shared" si="9"/>
        <v>0.71</v>
      </c>
      <c r="T41" s="160">
        <f t="shared" si="10"/>
        <v>1</v>
      </c>
      <c r="U41" s="160">
        <f t="shared" si="11"/>
        <v>0.71</v>
      </c>
      <c r="V41" s="190">
        <f t="shared" si="12"/>
        <v>30.1361275</v>
      </c>
      <c r="W41" s="177">
        <f t="shared" ref="W41:X41" si="26">C41/100</f>
        <v>1.01</v>
      </c>
      <c r="X41" s="177">
        <f t="shared" si="26"/>
        <v>2.05</v>
      </c>
      <c r="Y41" s="177">
        <f t="shared" si="14"/>
        <v>0.71</v>
      </c>
      <c r="Z41" s="191">
        <f t="shared" si="15"/>
        <v>1.470055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102</v>
      </c>
      <c r="C42" s="192">
        <v>103.0</v>
      </c>
      <c r="D42" s="192">
        <v>205.0</v>
      </c>
      <c r="E42" s="192">
        <v>58.0</v>
      </c>
      <c r="F42" s="192">
        <f t="shared" si="5"/>
        <v>0</v>
      </c>
      <c r="G42" s="192">
        <f t="shared" si="6"/>
        <v>25.105735</v>
      </c>
      <c r="H42" s="193">
        <f t="shared" si="7"/>
        <v>25.105735</v>
      </c>
      <c r="I42" s="192">
        <v>1.0</v>
      </c>
      <c r="J42" s="194">
        <f t="shared" si="8"/>
        <v>25.105735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37.0</v>
      </c>
      <c r="R42" s="189">
        <v>20.5</v>
      </c>
      <c r="S42" s="177">
        <f t="shared" si="9"/>
        <v>0.58</v>
      </c>
      <c r="T42" s="160">
        <f t="shared" si="10"/>
        <v>1</v>
      </c>
      <c r="U42" s="160">
        <f t="shared" si="11"/>
        <v>0.58</v>
      </c>
      <c r="V42" s="190">
        <f t="shared" si="12"/>
        <v>25.105735</v>
      </c>
      <c r="W42" s="177">
        <f t="shared" ref="W42:X42" si="27">C42/100</f>
        <v>1.03</v>
      </c>
      <c r="X42" s="177">
        <f t="shared" si="27"/>
        <v>2.05</v>
      </c>
      <c r="Y42" s="177">
        <f t="shared" si="14"/>
        <v>0.58</v>
      </c>
      <c r="Z42" s="191">
        <f t="shared" si="15"/>
        <v>1.22467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102</v>
      </c>
      <c r="C43" s="192">
        <v>104.0</v>
      </c>
      <c r="D43" s="192">
        <v>205.0</v>
      </c>
      <c r="E43" s="192">
        <v>2815.0</v>
      </c>
      <c r="F43" s="192">
        <f t="shared" si="5"/>
        <v>0</v>
      </c>
      <c r="G43" s="192">
        <f t="shared" si="6"/>
        <v>1230.3239</v>
      </c>
      <c r="H43" s="193">
        <f t="shared" si="7"/>
        <v>1230.3239</v>
      </c>
      <c r="I43" s="192">
        <v>1.0</v>
      </c>
      <c r="J43" s="194">
        <f t="shared" si="8"/>
        <v>1230.3239</v>
      </c>
      <c r="K43" s="139"/>
      <c r="L43" s="177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7">
        <v>1230.0</v>
      </c>
      <c r="R43" s="189">
        <v>20.5</v>
      </c>
      <c r="S43" s="177">
        <f t="shared" si="9"/>
        <v>28.15</v>
      </c>
      <c r="T43" s="160">
        <f t="shared" si="10"/>
        <v>1</v>
      </c>
      <c r="U43" s="160">
        <f t="shared" si="11"/>
        <v>28.15</v>
      </c>
      <c r="V43" s="190">
        <f t="shared" si="12"/>
        <v>1230.3239</v>
      </c>
      <c r="W43" s="177">
        <f t="shared" ref="W43:X43" si="28">C43/100</f>
        <v>1.04</v>
      </c>
      <c r="X43" s="177">
        <f t="shared" si="28"/>
        <v>2.05</v>
      </c>
      <c r="Y43" s="177">
        <f t="shared" si="14"/>
        <v>28.15</v>
      </c>
      <c r="Z43" s="191">
        <f t="shared" si="15"/>
        <v>60.0158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102</v>
      </c>
      <c r="C44" s="192">
        <v>102.0</v>
      </c>
      <c r="D44" s="192">
        <v>205.0</v>
      </c>
      <c r="E44" s="192">
        <v>2864.0</v>
      </c>
      <c r="F44" s="192">
        <f t="shared" si="5"/>
        <v>0</v>
      </c>
      <c r="G44" s="192">
        <f t="shared" si="6"/>
        <v>1227.66792</v>
      </c>
      <c r="H44" s="193">
        <f t="shared" si="7"/>
        <v>1227.66792</v>
      </c>
      <c r="I44" s="192">
        <v>1.0</v>
      </c>
      <c r="J44" s="194">
        <f t="shared" si="8"/>
        <v>1227.66792</v>
      </c>
      <c r="K44" s="139"/>
      <c r="L44" s="177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7">
        <v>1240.0</v>
      </c>
      <c r="R44" s="189">
        <v>20.5</v>
      </c>
      <c r="S44" s="177">
        <f t="shared" si="9"/>
        <v>28.64</v>
      </c>
      <c r="T44" s="160">
        <f t="shared" si="10"/>
        <v>1</v>
      </c>
      <c r="U44" s="160">
        <f t="shared" si="11"/>
        <v>28.64</v>
      </c>
      <c r="V44" s="190">
        <f t="shared" si="12"/>
        <v>1227.66792</v>
      </c>
      <c r="W44" s="177">
        <f t="shared" ref="W44:X44" si="29">C44/100</f>
        <v>1.02</v>
      </c>
      <c r="X44" s="177">
        <f t="shared" si="29"/>
        <v>2.05</v>
      </c>
      <c r="Y44" s="177">
        <f t="shared" si="14"/>
        <v>28.64</v>
      </c>
      <c r="Z44" s="191">
        <f t="shared" si="15"/>
        <v>59.88624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82" t="s">
        <v>24</v>
      </c>
      <c r="C45" s="192">
        <v>62.0</v>
      </c>
      <c r="D45" s="192">
        <v>204.0</v>
      </c>
      <c r="E45" s="192">
        <v>197.0</v>
      </c>
      <c r="F45" s="192">
        <f t="shared" si="5"/>
        <v>0</v>
      </c>
      <c r="G45" s="192">
        <f t="shared" si="6"/>
        <v>63.537228</v>
      </c>
      <c r="H45" s="193">
        <f t="shared" si="7"/>
        <v>63.537228</v>
      </c>
      <c r="I45" s="192">
        <v>1.0</v>
      </c>
      <c r="J45" s="194">
        <f t="shared" si="8"/>
        <v>63.537228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/>
      <c r="R45" s="189">
        <v>25.5</v>
      </c>
      <c r="S45" s="177">
        <f t="shared" si="9"/>
        <v>1.97</v>
      </c>
      <c r="T45" s="160">
        <f t="shared" si="10"/>
        <v>1</v>
      </c>
      <c r="U45" s="160">
        <f t="shared" si="11"/>
        <v>1.97</v>
      </c>
      <c r="V45" s="190">
        <f t="shared" si="12"/>
        <v>63.537228</v>
      </c>
      <c r="W45" s="177">
        <f t="shared" ref="W45:X45" si="30">C45/100</f>
        <v>0.62</v>
      </c>
      <c r="X45" s="177">
        <f t="shared" si="30"/>
        <v>2.04</v>
      </c>
      <c r="Y45" s="177">
        <f t="shared" si="14"/>
        <v>1.97</v>
      </c>
      <c r="Z45" s="191">
        <f t="shared" si="15"/>
        <v>2.491656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24</v>
      </c>
      <c r="C46" s="192">
        <v>80.0</v>
      </c>
      <c r="D46" s="192">
        <v>205.0</v>
      </c>
      <c r="E46" s="192">
        <v>204.0</v>
      </c>
      <c r="F46" s="192">
        <f t="shared" si="5"/>
        <v>0</v>
      </c>
      <c r="G46" s="192">
        <f t="shared" si="6"/>
        <v>85.3128</v>
      </c>
      <c r="H46" s="193">
        <f t="shared" si="7"/>
        <v>85.3128</v>
      </c>
      <c r="I46" s="192">
        <v>1.0</v>
      </c>
      <c r="J46" s="194">
        <f t="shared" si="8"/>
        <v>85.3128</v>
      </c>
      <c r="K46" s="139"/>
      <c r="L46" s="177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7"/>
      <c r="R46" s="189">
        <v>25.5</v>
      </c>
      <c r="S46" s="177">
        <f t="shared" si="9"/>
        <v>2.04</v>
      </c>
      <c r="T46" s="160">
        <f t="shared" si="10"/>
        <v>1</v>
      </c>
      <c r="U46" s="160">
        <f t="shared" si="11"/>
        <v>2.04</v>
      </c>
      <c r="V46" s="190">
        <f t="shared" si="12"/>
        <v>85.3128</v>
      </c>
      <c r="W46" s="177">
        <f t="shared" ref="W46:X46" si="31">C46/100</f>
        <v>0.8</v>
      </c>
      <c r="X46" s="177">
        <f t="shared" si="31"/>
        <v>2.05</v>
      </c>
      <c r="Y46" s="177">
        <f t="shared" si="14"/>
        <v>2.04</v>
      </c>
      <c r="Z46" s="191">
        <f t="shared" si="15"/>
        <v>3.3456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82" t="s">
        <v>73</v>
      </c>
      <c r="C47" s="183">
        <v>82.0</v>
      </c>
      <c r="D47" s="183">
        <v>205.0</v>
      </c>
      <c r="E47" s="183">
        <v>163.0</v>
      </c>
      <c r="F47" s="183">
        <f t="shared" si="5"/>
        <v>0</v>
      </c>
      <c r="G47" s="183">
        <f t="shared" si="6"/>
        <v>53.430585</v>
      </c>
      <c r="H47" s="184">
        <f t="shared" si="7"/>
        <v>53.430585</v>
      </c>
      <c r="I47" s="183">
        <v>1.0</v>
      </c>
      <c r="J47" s="185">
        <f t="shared" si="8"/>
        <v>53.430585</v>
      </c>
      <c r="K47" s="186"/>
      <c r="L47" s="187">
        <f t="shared" si="17"/>
        <v>5.207</v>
      </c>
      <c r="M47" s="188">
        <f t="shared" si="18"/>
        <v>1</v>
      </c>
      <c r="N47" s="188">
        <f t="shared" si="19"/>
        <v>5.207</v>
      </c>
      <c r="O47" s="186"/>
      <c r="P47" s="186"/>
      <c r="Q47" s="187">
        <v>68.0</v>
      </c>
      <c r="R47" s="189">
        <v>19.5</v>
      </c>
      <c r="S47" s="177">
        <f t="shared" si="9"/>
        <v>1.63</v>
      </c>
      <c r="T47" s="160">
        <f t="shared" si="10"/>
        <v>1</v>
      </c>
      <c r="U47" s="160">
        <f t="shared" si="11"/>
        <v>1.63</v>
      </c>
      <c r="V47" s="190">
        <f t="shared" si="12"/>
        <v>53.430585</v>
      </c>
      <c r="W47" s="177">
        <f t="shared" ref="W47:X47" si="32">C47/100</f>
        <v>0.82</v>
      </c>
      <c r="X47" s="177">
        <f t="shared" si="32"/>
        <v>2.05</v>
      </c>
      <c r="Y47" s="177">
        <f t="shared" si="14"/>
        <v>1.63</v>
      </c>
      <c r="Z47" s="191">
        <f t="shared" si="15"/>
        <v>2.74003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73</v>
      </c>
      <c r="C48" s="192">
        <v>68.0</v>
      </c>
      <c r="D48" s="192">
        <v>205.0</v>
      </c>
      <c r="E48" s="192">
        <v>109.0</v>
      </c>
      <c r="F48" s="192">
        <f t="shared" si="5"/>
        <v>0</v>
      </c>
      <c r="G48" s="192">
        <f t="shared" si="6"/>
        <v>29.62947</v>
      </c>
      <c r="H48" s="193">
        <f t="shared" si="7"/>
        <v>29.62947</v>
      </c>
      <c r="I48" s="192">
        <v>1.0</v>
      </c>
      <c r="J48" s="194">
        <f t="shared" si="8"/>
        <v>29.62947</v>
      </c>
      <c r="K48" s="139"/>
      <c r="L48" s="177">
        <f t="shared" si="17"/>
        <v>5.207</v>
      </c>
      <c r="M48" s="160">
        <f t="shared" si="18"/>
        <v>1</v>
      </c>
      <c r="N48" s="160">
        <f t="shared" si="19"/>
        <v>5.207</v>
      </c>
      <c r="O48" s="139"/>
      <c r="P48" s="139"/>
      <c r="Q48" s="177">
        <v>54.0</v>
      </c>
      <c r="R48" s="189">
        <v>19.5</v>
      </c>
      <c r="S48" s="177">
        <f t="shared" si="9"/>
        <v>1.09</v>
      </c>
      <c r="T48" s="160">
        <f t="shared" si="10"/>
        <v>1</v>
      </c>
      <c r="U48" s="160">
        <f t="shared" si="11"/>
        <v>1.09</v>
      </c>
      <c r="V48" s="190">
        <f t="shared" si="12"/>
        <v>29.62947</v>
      </c>
      <c r="W48" s="177">
        <f t="shared" ref="W48:X48" si="33">C48/100</f>
        <v>0.68</v>
      </c>
      <c r="X48" s="177">
        <f t="shared" si="33"/>
        <v>2.05</v>
      </c>
      <c r="Y48" s="177">
        <f t="shared" si="14"/>
        <v>1.09</v>
      </c>
      <c r="Z48" s="191">
        <f t="shared" si="15"/>
        <v>1.51946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73</v>
      </c>
      <c r="C49" s="192">
        <v>104.0</v>
      </c>
      <c r="D49" s="192">
        <v>204.0</v>
      </c>
      <c r="E49" s="192">
        <v>64.0</v>
      </c>
      <c r="F49" s="192">
        <f t="shared" si="5"/>
        <v>0</v>
      </c>
      <c r="G49" s="192">
        <f t="shared" si="6"/>
        <v>26.477568</v>
      </c>
      <c r="H49" s="193">
        <f t="shared" si="7"/>
        <v>26.477568</v>
      </c>
      <c r="I49" s="192">
        <v>1.0</v>
      </c>
      <c r="J49" s="194">
        <f t="shared" si="8"/>
        <v>26.477568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43.0</v>
      </c>
      <c r="R49" s="189">
        <v>19.5</v>
      </c>
      <c r="S49" s="177">
        <f t="shared" si="9"/>
        <v>0.64</v>
      </c>
      <c r="T49" s="160">
        <f t="shared" si="10"/>
        <v>1</v>
      </c>
      <c r="U49" s="160">
        <f t="shared" si="11"/>
        <v>0.64</v>
      </c>
      <c r="V49" s="190">
        <f t="shared" si="12"/>
        <v>26.477568</v>
      </c>
      <c r="W49" s="177">
        <f t="shared" ref="W49:X49" si="34">C49/100</f>
        <v>1.04</v>
      </c>
      <c r="X49" s="177">
        <f t="shared" si="34"/>
        <v>2.04</v>
      </c>
      <c r="Y49" s="177">
        <f t="shared" si="14"/>
        <v>0.64</v>
      </c>
      <c r="Z49" s="191">
        <f t="shared" si="15"/>
        <v>1.357824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73</v>
      </c>
      <c r="C50" s="192">
        <v>104.0</v>
      </c>
      <c r="D50" s="192">
        <v>204.0</v>
      </c>
      <c r="E50" s="192">
        <v>61.0</v>
      </c>
      <c r="F50" s="192">
        <f t="shared" si="5"/>
        <v>0</v>
      </c>
      <c r="G50" s="192">
        <f t="shared" si="6"/>
        <v>25.236432</v>
      </c>
      <c r="H50" s="193">
        <f t="shared" si="7"/>
        <v>25.236432</v>
      </c>
      <c r="I50" s="192">
        <v>1.0</v>
      </c>
      <c r="J50" s="194">
        <f t="shared" si="8"/>
        <v>25.236432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40.0</v>
      </c>
      <c r="R50" s="189">
        <v>19.5</v>
      </c>
      <c r="S50" s="177">
        <f t="shared" si="9"/>
        <v>0.61</v>
      </c>
      <c r="T50" s="160">
        <f t="shared" si="10"/>
        <v>1</v>
      </c>
      <c r="U50" s="160">
        <f t="shared" si="11"/>
        <v>0.61</v>
      </c>
      <c r="V50" s="190">
        <f t="shared" si="12"/>
        <v>25.236432</v>
      </c>
      <c r="W50" s="177">
        <f t="shared" ref="W50:X50" si="35">C50/100</f>
        <v>1.04</v>
      </c>
      <c r="X50" s="177">
        <f t="shared" si="35"/>
        <v>2.04</v>
      </c>
      <c r="Y50" s="177">
        <f t="shared" si="14"/>
        <v>0.61</v>
      </c>
      <c r="Z50" s="191">
        <f t="shared" si="15"/>
        <v>1.294176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73</v>
      </c>
      <c r="C51" s="192">
        <v>106.0</v>
      </c>
      <c r="D51" s="192">
        <v>216.0</v>
      </c>
      <c r="E51" s="192">
        <v>2867.0</v>
      </c>
      <c r="F51" s="192">
        <f t="shared" si="5"/>
        <v>0</v>
      </c>
      <c r="G51" s="192">
        <f t="shared" si="6"/>
        <v>1280.035224</v>
      </c>
      <c r="H51" s="193">
        <f t="shared" si="7"/>
        <v>1280.035224</v>
      </c>
      <c r="I51" s="192">
        <v>1.0</v>
      </c>
      <c r="J51" s="194">
        <f t="shared" si="8"/>
        <v>1280.035224</v>
      </c>
      <c r="K51" s="139"/>
      <c r="L51" s="177">
        <f t="shared" si="17"/>
        <v>5.4864</v>
      </c>
      <c r="M51" s="160">
        <f t="shared" si="18"/>
        <v>1</v>
      </c>
      <c r="N51" s="160">
        <f t="shared" si="19"/>
        <v>5.4864</v>
      </c>
      <c r="O51" s="139"/>
      <c r="P51" s="139"/>
      <c r="Q51" s="177">
        <v>1270.0</v>
      </c>
      <c r="R51" s="189">
        <v>19.5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1280.035224</v>
      </c>
      <c r="W51" s="177">
        <f t="shared" ref="W51:X51" si="36">C51/100</f>
        <v>1.06</v>
      </c>
      <c r="X51" s="177">
        <f t="shared" si="36"/>
        <v>2.16</v>
      </c>
      <c r="Y51" s="177">
        <f t="shared" si="14"/>
        <v>28.67</v>
      </c>
      <c r="Z51" s="191">
        <f t="shared" si="15"/>
        <v>65.642832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73</v>
      </c>
      <c r="C52" s="192">
        <v>104.0</v>
      </c>
      <c r="D52" s="192">
        <v>216.0</v>
      </c>
      <c r="E52" s="192">
        <v>2860.0</v>
      </c>
      <c r="F52" s="192">
        <f t="shared" si="5"/>
        <v>0</v>
      </c>
      <c r="G52" s="192">
        <f t="shared" si="6"/>
        <v>1252.81728</v>
      </c>
      <c r="H52" s="193">
        <f t="shared" si="7"/>
        <v>1252.81728</v>
      </c>
      <c r="I52" s="192">
        <v>1.0</v>
      </c>
      <c r="J52" s="194">
        <f t="shared" si="8"/>
        <v>1252.81728</v>
      </c>
      <c r="K52" s="139"/>
      <c r="L52" s="177">
        <f t="shared" si="17"/>
        <v>5.4864</v>
      </c>
      <c r="M52" s="160">
        <f t="shared" si="18"/>
        <v>1</v>
      </c>
      <c r="N52" s="160">
        <f t="shared" si="19"/>
        <v>5.4864</v>
      </c>
      <c r="O52" s="139"/>
      <c r="P52" s="139"/>
      <c r="Q52" s="177">
        <v>1300.0</v>
      </c>
      <c r="R52" s="189">
        <v>19.5</v>
      </c>
      <c r="S52" s="177">
        <f t="shared" si="9"/>
        <v>28.6</v>
      </c>
      <c r="T52" s="160">
        <f t="shared" si="10"/>
        <v>1</v>
      </c>
      <c r="U52" s="160">
        <f t="shared" si="11"/>
        <v>28.6</v>
      </c>
      <c r="V52" s="190">
        <f t="shared" si="12"/>
        <v>1252.81728</v>
      </c>
      <c r="W52" s="177">
        <f t="shared" ref="W52:X52" si="37">C52/100</f>
        <v>1.04</v>
      </c>
      <c r="X52" s="177">
        <f t="shared" si="37"/>
        <v>2.16</v>
      </c>
      <c r="Y52" s="177">
        <f t="shared" si="14"/>
        <v>28.6</v>
      </c>
      <c r="Z52" s="191">
        <f t="shared" si="15"/>
        <v>64.24704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73</v>
      </c>
      <c r="C53" s="192">
        <v>107.0</v>
      </c>
      <c r="D53" s="192">
        <v>216.0</v>
      </c>
      <c r="E53" s="192">
        <v>2862.0</v>
      </c>
      <c r="F53" s="192">
        <f t="shared" si="5"/>
        <v>0</v>
      </c>
      <c r="G53" s="192">
        <f t="shared" si="6"/>
        <v>1289.857608</v>
      </c>
      <c r="H53" s="193">
        <f t="shared" si="7"/>
        <v>1289.857608</v>
      </c>
      <c r="I53" s="192">
        <v>1.0</v>
      </c>
      <c r="J53" s="194">
        <f t="shared" si="8"/>
        <v>1289.857608</v>
      </c>
      <c r="K53" s="139"/>
      <c r="L53" s="177">
        <f t="shared" si="17"/>
        <v>5.4864</v>
      </c>
      <c r="M53" s="160">
        <f t="shared" si="18"/>
        <v>1</v>
      </c>
      <c r="N53" s="160">
        <f t="shared" si="19"/>
        <v>5.4864</v>
      </c>
      <c r="O53" s="139"/>
      <c r="P53" s="139"/>
      <c r="Q53" s="177">
        <v>1290.0</v>
      </c>
      <c r="R53" s="189">
        <v>19.5</v>
      </c>
      <c r="S53" s="177">
        <f t="shared" si="9"/>
        <v>28.62</v>
      </c>
      <c r="T53" s="160">
        <f t="shared" si="10"/>
        <v>1</v>
      </c>
      <c r="U53" s="160">
        <f t="shared" si="11"/>
        <v>28.62</v>
      </c>
      <c r="V53" s="190">
        <f t="shared" si="12"/>
        <v>1289.857608</v>
      </c>
      <c r="W53" s="177">
        <f t="shared" ref="W53:X53" si="38">C53/100</f>
        <v>1.07</v>
      </c>
      <c r="X53" s="177">
        <f t="shared" si="38"/>
        <v>2.16</v>
      </c>
      <c r="Y53" s="177">
        <f t="shared" si="14"/>
        <v>28.62</v>
      </c>
      <c r="Z53" s="191">
        <f t="shared" si="15"/>
        <v>66.146544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73</v>
      </c>
      <c r="C54" s="192">
        <v>104.0</v>
      </c>
      <c r="D54" s="192">
        <v>216.0</v>
      </c>
      <c r="E54" s="192">
        <v>2858.0</v>
      </c>
      <c r="F54" s="192">
        <f t="shared" si="5"/>
        <v>0</v>
      </c>
      <c r="G54" s="192">
        <f t="shared" si="6"/>
        <v>1251.941184</v>
      </c>
      <c r="H54" s="193">
        <f t="shared" si="7"/>
        <v>1251.941184</v>
      </c>
      <c r="I54" s="192">
        <v>1.0</v>
      </c>
      <c r="J54" s="194">
        <f t="shared" si="8"/>
        <v>1251.941184</v>
      </c>
      <c r="K54" s="139"/>
      <c r="L54" s="177">
        <f t="shared" si="17"/>
        <v>5.4864</v>
      </c>
      <c r="M54" s="160">
        <f t="shared" si="18"/>
        <v>1</v>
      </c>
      <c r="N54" s="160">
        <f t="shared" si="19"/>
        <v>5.4864</v>
      </c>
      <c r="O54" s="139"/>
      <c r="P54" s="139"/>
      <c r="Q54" s="177">
        <v>1280.0</v>
      </c>
      <c r="R54" s="189">
        <v>19.5</v>
      </c>
      <c r="S54" s="177">
        <f t="shared" si="9"/>
        <v>28.58</v>
      </c>
      <c r="T54" s="160">
        <f t="shared" si="10"/>
        <v>1</v>
      </c>
      <c r="U54" s="160">
        <f t="shared" si="11"/>
        <v>28.58</v>
      </c>
      <c r="V54" s="190">
        <f t="shared" si="12"/>
        <v>1251.941184</v>
      </c>
      <c r="W54" s="177">
        <f t="shared" ref="W54:X54" si="39">C54/100</f>
        <v>1.04</v>
      </c>
      <c r="X54" s="177">
        <f t="shared" si="39"/>
        <v>2.16</v>
      </c>
      <c r="Y54" s="177">
        <f t="shared" si="14"/>
        <v>28.58</v>
      </c>
      <c r="Z54" s="191">
        <f t="shared" si="15"/>
        <v>64.202112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73</v>
      </c>
      <c r="C55" s="192">
        <v>105.0</v>
      </c>
      <c r="D55" s="192">
        <v>216.0</v>
      </c>
      <c r="E55" s="192">
        <v>2858.0</v>
      </c>
      <c r="F55" s="192">
        <f t="shared" si="5"/>
        <v>0</v>
      </c>
      <c r="G55" s="192">
        <f t="shared" si="6"/>
        <v>1263.97908</v>
      </c>
      <c r="H55" s="193">
        <f t="shared" si="7"/>
        <v>1263.97908</v>
      </c>
      <c r="I55" s="192">
        <v>1.0</v>
      </c>
      <c r="J55" s="194">
        <f t="shared" si="8"/>
        <v>1263.97908</v>
      </c>
      <c r="K55" s="139"/>
      <c r="L55" s="177">
        <f t="shared" si="17"/>
        <v>5.4864</v>
      </c>
      <c r="M55" s="160">
        <f t="shared" si="18"/>
        <v>1</v>
      </c>
      <c r="N55" s="160">
        <f t="shared" si="19"/>
        <v>5.4864</v>
      </c>
      <c r="O55" s="139"/>
      <c r="P55" s="139"/>
      <c r="Q55" s="177">
        <v>1270.0</v>
      </c>
      <c r="R55" s="189">
        <v>19.5</v>
      </c>
      <c r="S55" s="177">
        <f t="shared" si="9"/>
        <v>28.58</v>
      </c>
      <c r="T55" s="160">
        <f t="shared" si="10"/>
        <v>1</v>
      </c>
      <c r="U55" s="160">
        <f t="shared" si="11"/>
        <v>28.58</v>
      </c>
      <c r="V55" s="190">
        <f t="shared" si="12"/>
        <v>1263.97908</v>
      </c>
      <c r="W55" s="177">
        <f t="shared" ref="W55:X55" si="40">C55/100</f>
        <v>1.05</v>
      </c>
      <c r="X55" s="177">
        <f t="shared" si="40"/>
        <v>2.16</v>
      </c>
      <c r="Y55" s="177">
        <f t="shared" si="14"/>
        <v>28.58</v>
      </c>
      <c r="Z55" s="191">
        <f t="shared" si="15"/>
        <v>64.81944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73</v>
      </c>
      <c r="C56" s="192">
        <v>106.0</v>
      </c>
      <c r="D56" s="192">
        <v>216.0</v>
      </c>
      <c r="E56" s="192">
        <v>2856.0</v>
      </c>
      <c r="F56" s="192">
        <f t="shared" si="5"/>
        <v>0</v>
      </c>
      <c r="G56" s="192">
        <f t="shared" si="6"/>
        <v>1275.124032</v>
      </c>
      <c r="H56" s="193">
        <f t="shared" si="7"/>
        <v>1275.124032</v>
      </c>
      <c r="I56" s="192">
        <v>1.0</v>
      </c>
      <c r="J56" s="194">
        <f t="shared" si="8"/>
        <v>1275.124032</v>
      </c>
      <c r="K56" s="139"/>
      <c r="L56" s="177">
        <f t="shared" si="17"/>
        <v>5.4864</v>
      </c>
      <c r="M56" s="160">
        <f t="shared" si="18"/>
        <v>1</v>
      </c>
      <c r="N56" s="160">
        <f t="shared" si="19"/>
        <v>5.4864</v>
      </c>
      <c r="O56" s="139"/>
      <c r="P56" s="139"/>
      <c r="Q56" s="177">
        <v>1275.0</v>
      </c>
      <c r="R56" s="189">
        <v>19.5</v>
      </c>
      <c r="S56" s="177">
        <f t="shared" si="9"/>
        <v>28.56</v>
      </c>
      <c r="T56" s="160">
        <f t="shared" si="10"/>
        <v>1</v>
      </c>
      <c r="U56" s="160">
        <f t="shared" si="11"/>
        <v>28.56</v>
      </c>
      <c r="V56" s="190">
        <f t="shared" si="12"/>
        <v>1275.124032</v>
      </c>
      <c r="W56" s="177">
        <f t="shared" ref="W56:X56" si="41">C56/100</f>
        <v>1.06</v>
      </c>
      <c r="X56" s="177">
        <f t="shared" si="41"/>
        <v>2.16</v>
      </c>
      <c r="Y56" s="177">
        <f t="shared" si="14"/>
        <v>28.56</v>
      </c>
      <c r="Z56" s="191">
        <f t="shared" si="15"/>
        <v>65.390976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73</v>
      </c>
      <c r="C57" s="192">
        <v>106.0</v>
      </c>
      <c r="D57" s="192">
        <v>216.0</v>
      </c>
      <c r="E57" s="192">
        <v>2860.0</v>
      </c>
      <c r="F57" s="192">
        <f t="shared" si="5"/>
        <v>0</v>
      </c>
      <c r="G57" s="192">
        <f t="shared" si="6"/>
        <v>1276.90992</v>
      </c>
      <c r="H57" s="193">
        <f t="shared" si="7"/>
        <v>1276.90992</v>
      </c>
      <c r="I57" s="192">
        <v>1.0</v>
      </c>
      <c r="J57" s="194">
        <f t="shared" si="8"/>
        <v>1276.90992</v>
      </c>
      <c r="K57" s="139"/>
      <c r="L57" s="195"/>
      <c r="M57" s="196">
        <f t="shared" si="18"/>
        <v>1</v>
      </c>
      <c r="N57" s="196"/>
      <c r="O57" s="139"/>
      <c r="P57" s="139"/>
      <c r="Q57" s="177">
        <v>1265.0</v>
      </c>
      <c r="R57" s="189">
        <v>19.5</v>
      </c>
      <c r="S57" s="177">
        <f t="shared" si="9"/>
        <v>28.6</v>
      </c>
      <c r="T57" s="160">
        <f t="shared" si="10"/>
        <v>1</v>
      </c>
      <c r="U57" s="160">
        <f t="shared" si="11"/>
        <v>28.6</v>
      </c>
      <c r="V57" s="190">
        <f t="shared" si="12"/>
        <v>1276.90992</v>
      </c>
      <c r="W57" s="177">
        <f t="shared" ref="W57:X57" si="42">C57/100</f>
        <v>1.06</v>
      </c>
      <c r="X57" s="177">
        <f t="shared" si="42"/>
        <v>2.16</v>
      </c>
      <c r="Y57" s="177">
        <f t="shared" si="14"/>
        <v>28.6</v>
      </c>
      <c r="Z57" s="191">
        <f t="shared" si="15"/>
        <v>65.48256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73</v>
      </c>
      <c r="C58" s="192">
        <v>106.0</v>
      </c>
      <c r="D58" s="192">
        <v>216.0</v>
      </c>
      <c r="E58" s="192">
        <v>2858.0</v>
      </c>
      <c r="F58" s="192">
        <f t="shared" si="5"/>
        <v>0</v>
      </c>
      <c r="G58" s="192">
        <f t="shared" si="6"/>
        <v>1276.016976</v>
      </c>
      <c r="H58" s="193">
        <f t="shared" si="7"/>
        <v>1276.016976</v>
      </c>
      <c r="I58" s="192">
        <v>1.0</v>
      </c>
      <c r="J58" s="194">
        <f t="shared" si="8"/>
        <v>1276.016976</v>
      </c>
      <c r="K58" s="139"/>
      <c r="L58" s="195"/>
      <c r="M58" s="196">
        <f t="shared" si="18"/>
        <v>1</v>
      </c>
      <c r="N58" s="196"/>
      <c r="O58" s="139"/>
      <c r="P58" s="139"/>
      <c r="Q58" s="177">
        <v>1260.0</v>
      </c>
      <c r="R58" s="189">
        <v>19.5</v>
      </c>
      <c r="S58" s="177">
        <f t="shared" si="9"/>
        <v>28.58</v>
      </c>
      <c r="T58" s="160">
        <f t="shared" si="10"/>
        <v>1</v>
      </c>
      <c r="U58" s="160">
        <f t="shared" si="11"/>
        <v>28.58</v>
      </c>
      <c r="V58" s="190">
        <f t="shared" si="12"/>
        <v>1276.016976</v>
      </c>
      <c r="W58" s="177">
        <f t="shared" ref="W58:X58" si="43">C58/100</f>
        <v>1.06</v>
      </c>
      <c r="X58" s="177">
        <f t="shared" si="43"/>
        <v>2.16</v>
      </c>
      <c r="Y58" s="177">
        <f t="shared" si="14"/>
        <v>28.58</v>
      </c>
      <c r="Z58" s="191">
        <f t="shared" si="15"/>
        <v>65.436768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51.0</v>
      </c>
      <c r="B59" s="182" t="s">
        <v>98</v>
      </c>
      <c r="C59" s="183">
        <v>82.0</v>
      </c>
      <c r="D59" s="183">
        <v>205.0</v>
      </c>
      <c r="E59" s="183">
        <v>135.0</v>
      </c>
      <c r="F59" s="183">
        <f t="shared" si="5"/>
        <v>0</v>
      </c>
      <c r="G59" s="183">
        <f t="shared" si="6"/>
        <v>55.599075</v>
      </c>
      <c r="H59" s="184">
        <f t="shared" si="7"/>
        <v>55.599075</v>
      </c>
      <c r="I59" s="183">
        <v>1.0</v>
      </c>
      <c r="J59" s="185">
        <f t="shared" si="8"/>
        <v>55.599075</v>
      </c>
      <c r="K59" s="186"/>
      <c r="L59" s="265"/>
      <c r="M59" s="266">
        <f t="shared" si="18"/>
        <v>1</v>
      </c>
      <c r="N59" s="266"/>
      <c r="O59" s="186"/>
      <c r="P59" s="186"/>
      <c r="Q59" s="187">
        <v>62.0</v>
      </c>
      <c r="R59" s="141">
        <v>24.5</v>
      </c>
      <c r="S59" s="177">
        <f t="shared" si="9"/>
        <v>1.35</v>
      </c>
      <c r="T59" s="160">
        <f t="shared" si="10"/>
        <v>1</v>
      </c>
      <c r="U59" s="160">
        <f t="shared" si="11"/>
        <v>1.35</v>
      </c>
      <c r="V59" s="190">
        <f t="shared" si="12"/>
        <v>55.599075</v>
      </c>
      <c r="W59" s="177">
        <f t="shared" ref="W59:X59" si="44">C59/100</f>
        <v>0.82</v>
      </c>
      <c r="X59" s="177">
        <f t="shared" si="44"/>
        <v>2.05</v>
      </c>
      <c r="Y59" s="177">
        <f t="shared" si="14"/>
        <v>1.35</v>
      </c>
      <c r="Z59" s="191">
        <f t="shared" si="15"/>
        <v>2.26935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52.0</v>
      </c>
      <c r="B60" s="192" t="s">
        <v>98</v>
      </c>
      <c r="C60" s="192">
        <v>71.0</v>
      </c>
      <c r="D60" s="192">
        <v>203.0</v>
      </c>
      <c r="E60" s="192">
        <v>171.0</v>
      </c>
      <c r="F60" s="192">
        <f t="shared" si="5"/>
        <v>0</v>
      </c>
      <c r="G60" s="192">
        <f t="shared" si="6"/>
        <v>60.3832635</v>
      </c>
      <c r="H60" s="193">
        <f t="shared" si="7"/>
        <v>60.3832635</v>
      </c>
      <c r="I60" s="192">
        <v>1.0</v>
      </c>
      <c r="J60" s="194">
        <f t="shared" si="8"/>
        <v>60.3832635</v>
      </c>
      <c r="K60" s="139"/>
      <c r="L60" s="195"/>
      <c r="M60" s="196">
        <f t="shared" si="18"/>
        <v>1</v>
      </c>
      <c r="N60" s="196"/>
      <c r="O60" s="139"/>
      <c r="P60" s="139"/>
      <c r="Q60" s="177">
        <v>74.0</v>
      </c>
      <c r="R60" s="141">
        <v>24.5</v>
      </c>
      <c r="S60" s="177">
        <f t="shared" si="9"/>
        <v>1.71</v>
      </c>
      <c r="T60" s="160">
        <f t="shared" si="10"/>
        <v>1</v>
      </c>
      <c r="U60" s="160">
        <f t="shared" si="11"/>
        <v>1.71</v>
      </c>
      <c r="V60" s="190">
        <f t="shared" si="12"/>
        <v>60.3832635</v>
      </c>
      <c r="W60" s="177">
        <f t="shared" ref="W60:X60" si="45">C60/100</f>
        <v>0.71</v>
      </c>
      <c r="X60" s="177">
        <f t="shared" si="45"/>
        <v>2.03</v>
      </c>
      <c r="Y60" s="177">
        <f t="shared" si="14"/>
        <v>1.71</v>
      </c>
      <c r="Z60" s="191">
        <f t="shared" si="15"/>
        <v>2.464623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53.0</v>
      </c>
      <c r="B61" s="192" t="s">
        <v>98</v>
      </c>
      <c r="C61" s="192">
        <v>79.0</v>
      </c>
      <c r="D61" s="192">
        <v>203.0</v>
      </c>
      <c r="E61" s="192">
        <v>209.0</v>
      </c>
      <c r="F61" s="192">
        <f t="shared" si="5"/>
        <v>0</v>
      </c>
      <c r="G61" s="192">
        <f t="shared" si="6"/>
        <v>82.1174585</v>
      </c>
      <c r="H61" s="193">
        <f t="shared" si="7"/>
        <v>82.1174585</v>
      </c>
      <c r="I61" s="192">
        <v>1.0</v>
      </c>
      <c r="J61" s="194">
        <f t="shared" si="8"/>
        <v>82.1174585</v>
      </c>
      <c r="K61" s="139"/>
      <c r="L61" s="195"/>
      <c r="M61" s="196"/>
      <c r="N61" s="196"/>
      <c r="O61" s="139"/>
      <c r="P61" s="139"/>
      <c r="Q61" s="177">
        <v>88.0</v>
      </c>
      <c r="R61" s="141">
        <v>24.5</v>
      </c>
      <c r="S61" s="177">
        <f t="shared" si="9"/>
        <v>2.09</v>
      </c>
      <c r="T61" s="160">
        <f t="shared" si="10"/>
        <v>1</v>
      </c>
      <c r="U61" s="160">
        <f t="shared" si="11"/>
        <v>2.09</v>
      </c>
      <c r="V61" s="190">
        <f t="shared" si="12"/>
        <v>82.1174585</v>
      </c>
      <c r="W61" s="177">
        <f t="shared" ref="W61:X61" si="46">C61/100</f>
        <v>0.79</v>
      </c>
      <c r="X61" s="177">
        <f t="shared" si="46"/>
        <v>2.03</v>
      </c>
      <c r="Y61" s="177">
        <f t="shared" si="14"/>
        <v>2.09</v>
      </c>
      <c r="Z61" s="191">
        <f t="shared" si="15"/>
        <v>3.351733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54.0</v>
      </c>
      <c r="B62" s="192" t="s">
        <v>98</v>
      </c>
      <c r="C62" s="192">
        <v>91.0</v>
      </c>
      <c r="D62" s="192">
        <v>205.0</v>
      </c>
      <c r="E62" s="192">
        <v>205.0</v>
      </c>
      <c r="F62" s="192">
        <f t="shared" si="5"/>
        <v>0</v>
      </c>
      <c r="G62" s="192">
        <f t="shared" si="6"/>
        <v>93.6947375</v>
      </c>
      <c r="H62" s="193">
        <f t="shared" si="7"/>
        <v>93.6947375</v>
      </c>
      <c r="I62" s="192">
        <v>1.0</v>
      </c>
      <c r="J62" s="194">
        <f t="shared" si="8"/>
        <v>93.6947375</v>
      </c>
      <c r="K62" s="139"/>
      <c r="L62" s="195"/>
      <c r="M62" s="196"/>
      <c r="N62" s="196"/>
      <c r="O62" s="139"/>
      <c r="P62" s="139"/>
      <c r="Q62" s="177">
        <v>99.0</v>
      </c>
      <c r="R62" s="141">
        <v>24.5</v>
      </c>
      <c r="S62" s="177">
        <f t="shared" si="9"/>
        <v>2.05</v>
      </c>
      <c r="T62" s="160">
        <f t="shared" si="10"/>
        <v>1</v>
      </c>
      <c r="U62" s="160">
        <f t="shared" si="11"/>
        <v>2.05</v>
      </c>
      <c r="V62" s="190">
        <f t="shared" si="12"/>
        <v>93.6947375</v>
      </c>
      <c r="W62" s="177">
        <f t="shared" ref="W62:X62" si="47">C62/100</f>
        <v>0.91</v>
      </c>
      <c r="X62" s="177">
        <f t="shared" si="47"/>
        <v>2.05</v>
      </c>
      <c r="Y62" s="177">
        <f t="shared" si="14"/>
        <v>2.05</v>
      </c>
      <c r="Z62" s="191">
        <f t="shared" si="15"/>
        <v>3.824275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55.0</v>
      </c>
      <c r="B63" s="192" t="s">
        <v>98</v>
      </c>
      <c r="C63" s="192">
        <v>88.0</v>
      </c>
      <c r="D63" s="192">
        <v>205.0</v>
      </c>
      <c r="E63" s="192">
        <v>194.0</v>
      </c>
      <c r="F63" s="192">
        <f t="shared" si="5"/>
        <v>0</v>
      </c>
      <c r="G63" s="192">
        <f t="shared" si="6"/>
        <v>85.74412</v>
      </c>
      <c r="H63" s="193">
        <f t="shared" si="7"/>
        <v>85.74412</v>
      </c>
      <c r="I63" s="192">
        <v>1.0</v>
      </c>
      <c r="J63" s="194">
        <f t="shared" si="8"/>
        <v>85.74412</v>
      </c>
      <c r="K63" s="139"/>
      <c r="L63" s="195"/>
      <c r="M63" s="196"/>
      <c r="N63" s="196"/>
      <c r="O63" s="139"/>
      <c r="P63" s="139"/>
      <c r="Q63" s="177">
        <v>90.0</v>
      </c>
      <c r="R63" s="141">
        <v>24.5</v>
      </c>
      <c r="S63" s="177">
        <f t="shared" si="9"/>
        <v>1.94</v>
      </c>
      <c r="T63" s="160">
        <f t="shared" si="10"/>
        <v>1</v>
      </c>
      <c r="U63" s="160">
        <f t="shared" si="11"/>
        <v>1.94</v>
      </c>
      <c r="V63" s="190">
        <f t="shared" si="12"/>
        <v>85.74412</v>
      </c>
      <c r="W63" s="177">
        <f t="shared" ref="W63:X63" si="48">C63/100</f>
        <v>0.88</v>
      </c>
      <c r="X63" s="177">
        <f t="shared" si="48"/>
        <v>2.05</v>
      </c>
      <c r="Y63" s="177">
        <f t="shared" si="14"/>
        <v>1.94</v>
      </c>
      <c r="Z63" s="191">
        <f t="shared" si="15"/>
        <v>3.49976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56.0</v>
      </c>
      <c r="B64" s="192" t="s">
        <v>98</v>
      </c>
      <c r="C64" s="192">
        <v>92.0</v>
      </c>
      <c r="D64" s="192">
        <v>205.0</v>
      </c>
      <c r="E64" s="192">
        <v>196.0</v>
      </c>
      <c r="F64" s="192">
        <f t="shared" si="5"/>
        <v>0</v>
      </c>
      <c r="G64" s="192">
        <f t="shared" si="6"/>
        <v>90.56572</v>
      </c>
      <c r="H64" s="193">
        <f t="shared" si="7"/>
        <v>90.56572</v>
      </c>
      <c r="I64" s="192">
        <v>1.0</v>
      </c>
      <c r="J64" s="194">
        <f t="shared" si="8"/>
        <v>90.56572</v>
      </c>
      <c r="K64" s="139"/>
      <c r="L64" s="195"/>
      <c r="M64" s="196"/>
      <c r="N64" s="196"/>
      <c r="O64" s="139"/>
      <c r="P64" s="139"/>
      <c r="Q64" s="177">
        <v>98.0</v>
      </c>
      <c r="R64" s="141">
        <v>24.5</v>
      </c>
      <c r="S64" s="177">
        <f t="shared" si="9"/>
        <v>1.96</v>
      </c>
      <c r="T64" s="160">
        <f t="shared" si="10"/>
        <v>1</v>
      </c>
      <c r="U64" s="160">
        <f t="shared" si="11"/>
        <v>1.96</v>
      </c>
      <c r="V64" s="190">
        <f t="shared" si="12"/>
        <v>90.56572</v>
      </c>
      <c r="W64" s="177">
        <f t="shared" ref="W64:X64" si="49">C64/100</f>
        <v>0.92</v>
      </c>
      <c r="X64" s="177">
        <f t="shared" si="49"/>
        <v>2.05</v>
      </c>
      <c r="Y64" s="177">
        <f t="shared" si="14"/>
        <v>1.96</v>
      </c>
      <c r="Z64" s="191">
        <f t="shared" si="15"/>
        <v>3.69656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57.0</v>
      </c>
      <c r="B65" s="192" t="s">
        <v>98</v>
      </c>
      <c r="C65" s="192">
        <v>92.0</v>
      </c>
      <c r="D65" s="192">
        <v>205.0</v>
      </c>
      <c r="E65" s="192">
        <v>209.0</v>
      </c>
      <c r="F65" s="192">
        <f t="shared" si="5"/>
        <v>0</v>
      </c>
      <c r="G65" s="192">
        <f t="shared" si="6"/>
        <v>96.57263</v>
      </c>
      <c r="H65" s="193">
        <f t="shared" si="7"/>
        <v>96.57263</v>
      </c>
      <c r="I65" s="192">
        <v>1.0</v>
      </c>
      <c r="J65" s="194">
        <f t="shared" si="8"/>
        <v>96.57263</v>
      </c>
      <c r="K65" s="139"/>
      <c r="L65" s="195"/>
      <c r="M65" s="196"/>
      <c r="N65" s="196"/>
      <c r="O65" s="139"/>
      <c r="P65" s="139"/>
      <c r="Q65" s="177">
        <v>103.0</v>
      </c>
      <c r="R65" s="141">
        <v>24.5</v>
      </c>
      <c r="S65" s="177">
        <f t="shared" si="9"/>
        <v>2.09</v>
      </c>
      <c r="T65" s="160">
        <f t="shared" si="10"/>
        <v>1</v>
      </c>
      <c r="U65" s="160">
        <f t="shared" si="11"/>
        <v>2.09</v>
      </c>
      <c r="V65" s="190">
        <f t="shared" si="12"/>
        <v>96.57263</v>
      </c>
      <c r="W65" s="177">
        <f t="shared" ref="W65:X65" si="50">C65/100</f>
        <v>0.92</v>
      </c>
      <c r="X65" s="177">
        <f t="shared" si="50"/>
        <v>2.05</v>
      </c>
      <c r="Y65" s="177">
        <f t="shared" si="14"/>
        <v>2.09</v>
      </c>
      <c r="Z65" s="191">
        <f t="shared" si="15"/>
        <v>3.94174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/>
      <c r="B66" s="177"/>
      <c r="C66" s="177"/>
      <c r="D66" s="177"/>
      <c r="E66" s="177"/>
      <c r="F66" s="177"/>
      <c r="G66" s="177"/>
      <c r="H66" s="180"/>
      <c r="I66" s="160"/>
      <c r="J66" s="202">
        <f>+Q131</f>
        <v>112.4</v>
      </c>
      <c r="K66" s="139"/>
      <c r="L66" s="139"/>
      <c r="M66" s="139"/>
      <c r="N66" s="139"/>
      <c r="O66" s="139"/>
      <c r="P66" s="139"/>
      <c r="Q66" s="139"/>
      <c r="R66" s="203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201"/>
      <c r="W66" s="197">
        <f t="shared" ref="W66:X66" si="51">C66/100</f>
        <v>0</v>
      </c>
      <c r="X66" s="197">
        <f t="shared" si="51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/>
      <c r="B67" s="204"/>
      <c r="C67" s="204"/>
      <c r="D67" s="204"/>
      <c r="E67" s="204"/>
      <c r="F67" s="204"/>
      <c r="G67" s="204"/>
      <c r="H67" s="205"/>
      <c r="I67" s="206">
        <f>SUM(I32:I65)</f>
        <v>34</v>
      </c>
      <c r="J67" s="207">
        <f>SUM(J32:J66)</f>
        <v>19308.82985</v>
      </c>
      <c r="K67" s="208"/>
      <c r="L67" s="208"/>
      <c r="M67" s="208"/>
      <c r="N67" s="208"/>
      <c r="O67" s="208"/>
      <c r="P67" s="208"/>
      <c r="Q67" s="208"/>
      <c r="R67" s="141"/>
      <c r="S67" s="208">
        <f>SUMIFS($T$32:$T$65,$S$32:$S$65,"&gt;=3")</f>
        <v>13</v>
      </c>
      <c r="T67" s="208">
        <f t="shared" ref="T67:U67" si="52">SUM(T32:T65)</f>
        <v>34</v>
      </c>
      <c r="U67" s="208">
        <f t="shared" si="52"/>
        <v>402.98</v>
      </c>
      <c r="V67" s="208"/>
      <c r="W67" s="208"/>
      <c r="X67" s="208"/>
      <c r="Y67" s="208"/>
      <c r="Z67" s="209">
        <f>SUM(Z32:Z66)</f>
        <v>898.458652</v>
      </c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/>
      <c r="AM67" s="208"/>
      <c r="AN67" s="208"/>
      <c r="AO67" s="208"/>
      <c r="AP67" s="208"/>
      <c r="AQ67" s="208"/>
      <c r="AR67" s="208"/>
      <c r="AS67" s="208"/>
      <c r="AT67" s="208"/>
    </row>
    <row r="68" ht="29.25" customHeight="1">
      <c r="A68" s="139"/>
      <c r="B68" s="139"/>
      <c r="C68" s="139"/>
      <c r="D68" s="139"/>
      <c r="E68" s="139"/>
      <c r="F68" s="139"/>
      <c r="G68" s="139"/>
      <c r="H68" s="140"/>
      <c r="I68" s="139"/>
      <c r="J68" s="139"/>
      <c r="K68" s="139"/>
      <c r="L68" s="139"/>
      <c r="M68" s="139"/>
      <c r="N68" s="139"/>
      <c r="O68" s="139"/>
      <c r="P68" s="139"/>
      <c r="Q68" s="139"/>
      <c r="R68" s="141"/>
      <c r="S68" s="201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9.25" customHeight="1">
      <c r="A69" s="139"/>
      <c r="B69" s="139"/>
      <c r="C69" s="139"/>
      <c r="D69" s="139"/>
      <c r="E69" s="139"/>
      <c r="F69" s="139"/>
      <c r="G69" s="139"/>
      <c r="H69" s="140"/>
      <c r="I69" s="139"/>
      <c r="J69" s="139"/>
      <c r="K69" s="139"/>
      <c r="L69" s="139"/>
      <c r="M69" s="139"/>
      <c r="N69" s="139"/>
      <c r="O69" s="139"/>
      <c r="P69" s="139"/>
      <c r="Q69" s="139"/>
      <c r="R69" s="203"/>
      <c r="S69" s="139"/>
      <c r="T69" s="139" t="s">
        <v>48</v>
      </c>
      <c r="U69" s="139" t="s">
        <v>59</v>
      </c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9.25" customHeight="1">
      <c r="A70" s="139"/>
      <c r="B70" s="139"/>
      <c r="C70" s="139"/>
      <c r="D70" s="139"/>
      <c r="E70" s="139"/>
      <c r="F70" s="139"/>
      <c r="G70" s="139"/>
      <c r="H70" s="140"/>
      <c r="I70" s="139"/>
      <c r="J70" s="139"/>
      <c r="K70" s="139"/>
      <c r="L70" s="139"/>
      <c r="M70" s="139"/>
      <c r="N70" s="139"/>
      <c r="O70" s="139"/>
      <c r="P70" s="139"/>
      <c r="Q70" s="139"/>
      <c r="R70" s="141"/>
      <c r="S70" s="139" t="s">
        <v>31</v>
      </c>
      <c r="T70" s="210">
        <f>SUMIFS($J$32:$J$65,$S$32:$S$65,"&gt;=3")</f>
        <v>17859.66288</v>
      </c>
      <c r="U70" s="211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9.25" customHeight="1">
      <c r="A71" s="139" t="s">
        <v>32</v>
      </c>
      <c r="B71" s="139"/>
      <c r="C71" s="139"/>
      <c r="D71" s="139" t="s">
        <v>33</v>
      </c>
      <c r="E71" s="139"/>
      <c r="F71" s="139"/>
      <c r="G71" s="139"/>
      <c r="H71" s="140"/>
      <c r="I71" s="139"/>
      <c r="J71" s="139"/>
      <c r="K71" s="139"/>
      <c r="L71" s="139"/>
      <c r="M71" s="139"/>
      <c r="N71" s="139"/>
      <c r="O71" s="139"/>
      <c r="P71" s="139"/>
      <c r="Q71" s="139"/>
      <c r="R71" s="141"/>
      <c r="S71" s="139" t="s">
        <v>34</v>
      </c>
      <c r="T71" s="212">
        <f>J67-T70</f>
        <v>1449.166964</v>
      </c>
      <c r="U71" s="211">
        <f>+SUMIFS($U$32:$U$65,$S$32:$S$65,"&gt;=3")</f>
        <v>371.65</v>
      </c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9.25" customHeight="1">
      <c r="A72" s="139"/>
      <c r="B72" s="139"/>
      <c r="C72" s="139"/>
      <c r="D72" s="139"/>
      <c r="E72" s="139"/>
      <c r="F72" s="139"/>
      <c r="G72" s="139"/>
      <c r="H72" s="140"/>
      <c r="I72" s="139"/>
      <c r="J72" s="139"/>
      <c r="K72" s="139"/>
      <c r="L72" s="139"/>
      <c r="M72" s="139"/>
      <c r="N72" s="139"/>
      <c r="O72" s="139"/>
      <c r="P72" s="139"/>
      <c r="Q72" s="139"/>
      <c r="R72" s="203"/>
      <c r="S72" s="139"/>
      <c r="T72" s="213">
        <f>+I67</f>
        <v>34</v>
      </c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39.0" customHeight="1">
      <c r="A73" s="177"/>
      <c r="B73" s="160" t="s">
        <v>12</v>
      </c>
      <c r="C73" s="178" t="s">
        <v>60</v>
      </c>
      <c r="D73" s="52"/>
      <c r="E73" s="53"/>
      <c r="F73" s="179"/>
      <c r="G73" s="179"/>
      <c r="H73" s="180" t="s">
        <v>14</v>
      </c>
      <c r="I73" s="160" t="s">
        <v>15</v>
      </c>
      <c r="J73" s="160" t="s">
        <v>16</v>
      </c>
      <c r="K73" s="139"/>
      <c r="L73" s="139"/>
      <c r="M73" s="139"/>
      <c r="N73" s="139"/>
      <c r="O73" s="139"/>
      <c r="P73" s="139"/>
      <c r="Q73" s="139"/>
      <c r="R73" s="141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54">
        <v>1.0</v>
      </c>
      <c r="B74" s="214"/>
      <c r="C74" s="214"/>
      <c r="D74" s="214"/>
      <c r="E74" s="214"/>
      <c r="F74" s="214">
        <f t="shared" ref="F74:F87" si="53">1-VALUE(IF(RIGHT(B74, 1)="%", RIGHT(B74, 3), 0))</f>
        <v>1</v>
      </c>
      <c r="G74" s="214">
        <f t="shared" ref="G74:G87" si="54">+Q74*C74/100*D74/100*E74/100</f>
        <v>0</v>
      </c>
      <c r="H74" s="215">
        <f t="shared" ref="H74:H87" si="55">IF(F74=0, G74, F74*G74)</f>
        <v>0</v>
      </c>
      <c r="I74" s="214"/>
      <c r="J74" s="216"/>
      <c r="K74" s="139"/>
      <c r="L74" s="177">
        <f t="shared" ref="L74:L82" si="56">D74*25.4/1000</f>
        <v>0</v>
      </c>
      <c r="M74" s="160" t="str">
        <f t="shared" ref="M74:M78" si="57">+I74</f>
        <v/>
      </c>
      <c r="N74" s="160">
        <f t="shared" ref="N74:N78" si="58">M74*L74</f>
        <v>0</v>
      </c>
      <c r="O74" s="139"/>
      <c r="P74" s="139"/>
      <c r="Q74" s="139"/>
      <c r="R74" s="141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54">
        <v>2.0</v>
      </c>
      <c r="B75" s="214"/>
      <c r="C75" s="214"/>
      <c r="D75" s="214"/>
      <c r="E75" s="214"/>
      <c r="F75" s="214">
        <f t="shared" si="53"/>
        <v>1</v>
      </c>
      <c r="G75" s="214">
        <f t="shared" si="54"/>
        <v>0</v>
      </c>
      <c r="H75" s="215">
        <f t="shared" si="55"/>
        <v>0</v>
      </c>
      <c r="I75" s="214"/>
      <c r="J75" s="216">
        <f t="shared" ref="J75:J87" si="59">+I75*H75</f>
        <v>0</v>
      </c>
      <c r="K75" s="139"/>
      <c r="L75" s="177">
        <f t="shared" si="56"/>
        <v>0</v>
      </c>
      <c r="M75" s="160" t="str">
        <f t="shared" si="57"/>
        <v/>
      </c>
      <c r="N75" s="160">
        <f t="shared" si="58"/>
        <v>0</v>
      </c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54">
        <v>3.0</v>
      </c>
      <c r="B76" s="217"/>
      <c r="C76" s="217"/>
      <c r="D76" s="217"/>
      <c r="E76" s="217"/>
      <c r="F76" s="217">
        <f t="shared" si="53"/>
        <v>1</v>
      </c>
      <c r="G76" s="217">
        <f t="shared" si="54"/>
        <v>0</v>
      </c>
      <c r="H76" s="218">
        <f t="shared" si="55"/>
        <v>0</v>
      </c>
      <c r="I76" s="217"/>
      <c r="J76" s="194">
        <f t="shared" si="59"/>
        <v>0</v>
      </c>
      <c r="K76" s="139"/>
      <c r="L76" s="177">
        <f t="shared" si="56"/>
        <v>0</v>
      </c>
      <c r="M76" s="160" t="str">
        <f t="shared" si="57"/>
        <v/>
      </c>
      <c r="N76" s="160">
        <f t="shared" si="58"/>
        <v>0</v>
      </c>
      <c r="O76" s="139"/>
      <c r="P76" s="139"/>
      <c r="Q76" s="139"/>
      <c r="R76" s="139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54">
        <v>4.0</v>
      </c>
      <c r="B77" s="217"/>
      <c r="C77" s="217"/>
      <c r="D77" s="217"/>
      <c r="E77" s="217"/>
      <c r="F77" s="217">
        <f t="shared" si="53"/>
        <v>1</v>
      </c>
      <c r="G77" s="217">
        <f t="shared" si="54"/>
        <v>0</v>
      </c>
      <c r="H77" s="218">
        <f t="shared" si="55"/>
        <v>0</v>
      </c>
      <c r="I77" s="217"/>
      <c r="J77" s="194">
        <f t="shared" si="59"/>
        <v>0</v>
      </c>
      <c r="K77" s="139"/>
      <c r="L77" s="177">
        <f t="shared" si="56"/>
        <v>0</v>
      </c>
      <c r="M77" s="160" t="str">
        <f t="shared" si="57"/>
        <v/>
      </c>
      <c r="N77" s="160">
        <f t="shared" si="58"/>
        <v>0</v>
      </c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54">
        <v>5.0</v>
      </c>
      <c r="B78" s="217"/>
      <c r="C78" s="217"/>
      <c r="D78" s="217"/>
      <c r="E78" s="217"/>
      <c r="F78" s="217">
        <f t="shared" si="53"/>
        <v>1</v>
      </c>
      <c r="G78" s="217">
        <f t="shared" si="54"/>
        <v>0</v>
      </c>
      <c r="H78" s="218">
        <f t="shared" si="55"/>
        <v>0</v>
      </c>
      <c r="I78" s="217"/>
      <c r="J78" s="194">
        <f t="shared" si="59"/>
        <v>0</v>
      </c>
      <c r="K78" s="139"/>
      <c r="L78" s="177">
        <f t="shared" si="56"/>
        <v>0</v>
      </c>
      <c r="M78" s="160" t="str">
        <f t="shared" si="57"/>
        <v/>
      </c>
      <c r="N78" s="160">
        <f t="shared" si="58"/>
        <v>0</v>
      </c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54">
        <v>6.0</v>
      </c>
      <c r="B79" s="217"/>
      <c r="C79" s="217"/>
      <c r="D79" s="217"/>
      <c r="E79" s="217"/>
      <c r="F79" s="217">
        <f t="shared" si="53"/>
        <v>1</v>
      </c>
      <c r="G79" s="217">
        <f t="shared" si="54"/>
        <v>0</v>
      </c>
      <c r="H79" s="218">
        <f t="shared" si="55"/>
        <v>0</v>
      </c>
      <c r="I79" s="217"/>
      <c r="J79" s="194">
        <f t="shared" si="59"/>
        <v>0</v>
      </c>
      <c r="K79" s="139"/>
      <c r="L79" s="139">
        <f t="shared" si="56"/>
        <v>0</v>
      </c>
      <c r="M79" s="220"/>
      <c r="N79" s="220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54">
        <v>7.0</v>
      </c>
      <c r="B80" s="217"/>
      <c r="C80" s="217"/>
      <c r="D80" s="217"/>
      <c r="E80" s="217"/>
      <c r="F80" s="217">
        <f t="shared" si="53"/>
        <v>1</v>
      </c>
      <c r="G80" s="217">
        <f t="shared" si="54"/>
        <v>0</v>
      </c>
      <c r="H80" s="218">
        <f t="shared" si="55"/>
        <v>0</v>
      </c>
      <c r="I80" s="217"/>
      <c r="J80" s="194">
        <f t="shared" si="59"/>
        <v>0</v>
      </c>
      <c r="K80" s="139"/>
      <c r="L80" s="139">
        <f t="shared" si="56"/>
        <v>0</v>
      </c>
      <c r="M80" s="220"/>
      <c r="N80" s="220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54">
        <v>8.0</v>
      </c>
      <c r="B81" s="217"/>
      <c r="C81" s="217"/>
      <c r="D81" s="217"/>
      <c r="E81" s="217"/>
      <c r="F81" s="217">
        <f t="shared" si="53"/>
        <v>1</v>
      </c>
      <c r="G81" s="217">
        <f t="shared" si="54"/>
        <v>0</v>
      </c>
      <c r="H81" s="218">
        <f t="shared" si="55"/>
        <v>0</v>
      </c>
      <c r="I81" s="217"/>
      <c r="J81" s="194">
        <f t="shared" si="59"/>
        <v>0</v>
      </c>
      <c r="K81" s="139"/>
      <c r="L81" s="139">
        <f t="shared" si="56"/>
        <v>0</v>
      </c>
      <c r="M81" s="220"/>
      <c r="N81" s="220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54">
        <v>9.0</v>
      </c>
      <c r="B82" s="217"/>
      <c r="C82" s="217"/>
      <c r="D82" s="217"/>
      <c r="E82" s="217"/>
      <c r="F82" s="217">
        <f t="shared" si="53"/>
        <v>1</v>
      </c>
      <c r="G82" s="217">
        <f t="shared" si="54"/>
        <v>0</v>
      </c>
      <c r="H82" s="218">
        <f t="shared" si="55"/>
        <v>0</v>
      </c>
      <c r="I82" s="217"/>
      <c r="J82" s="194">
        <f t="shared" si="59"/>
        <v>0</v>
      </c>
      <c r="K82" s="139"/>
      <c r="L82" s="139">
        <f t="shared" si="56"/>
        <v>0</v>
      </c>
      <c r="M82" s="220"/>
      <c r="N82" s="220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54">
        <v>10.0</v>
      </c>
      <c r="B83" s="192"/>
      <c r="C83" s="192"/>
      <c r="D83" s="192"/>
      <c r="E83" s="192"/>
      <c r="F83" s="192">
        <f t="shared" si="53"/>
        <v>1</v>
      </c>
      <c r="G83" s="192">
        <f t="shared" si="54"/>
        <v>0</v>
      </c>
      <c r="H83" s="193">
        <f t="shared" si="55"/>
        <v>0</v>
      </c>
      <c r="I83" s="192"/>
      <c r="J83" s="194">
        <f t="shared" si="59"/>
        <v>0</v>
      </c>
      <c r="K83" s="139"/>
      <c r="L83" s="139"/>
      <c r="M83" s="220"/>
      <c r="N83" s="220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54">
        <v>11.0</v>
      </c>
      <c r="B84" s="192"/>
      <c r="C84" s="192"/>
      <c r="D84" s="192"/>
      <c r="E84" s="192"/>
      <c r="F84" s="192">
        <f t="shared" si="53"/>
        <v>1</v>
      </c>
      <c r="G84" s="192">
        <f t="shared" si="54"/>
        <v>0</v>
      </c>
      <c r="H84" s="193">
        <f t="shared" si="55"/>
        <v>0</v>
      </c>
      <c r="I84" s="192"/>
      <c r="J84" s="194">
        <f t="shared" si="59"/>
        <v>0</v>
      </c>
      <c r="K84" s="139"/>
      <c r="L84" s="139"/>
      <c r="M84" s="220"/>
      <c r="N84" s="220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54">
        <v>12.0</v>
      </c>
      <c r="B85" s="192"/>
      <c r="C85" s="192"/>
      <c r="D85" s="192"/>
      <c r="E85" s="192"/>
      <c r="F85" s="192">
        <f t="shared" si="53"/>
        <v>1</v>
      </c>
      <c r="G85" s="192">
        <f t="shared" si="54"/>
        <v>0</v>
      </c>
      <c r="H85" s="193">
        <f t="shared" si="55"/>
        <v>0</v>
      </c>
      <c r="I85" s="192"/>
      <c r="J85" s="194">
        <f t="shared" si="59"/>
        <v>0</v>
      </c>
      <c r="K85" s="139"/>
      <c r="L85" s="139"/>
      <c r="M85" s="220"/>
      <c r="N85" s="220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54">
        <v>13.0</v>
      </c>
      <c r="B86" s="192"/>
      <c r="C86" s="192"/>
      <c r="D86" s="192"/>
      <c r="E86" s="192"/>
      <c r="F86" s="192">
        <f t="shared" si="53"/>
        <v>1</v>
      </c>
      <c r="G86" s="192">
        <f t="shared" si="54"/>
        <v>0</v>
      </c>
      <c r="H86" s="193">
        <f t="shared" si="55"/>
        <v>0</v>
      </c>
      <c r="I86" s="192"/>
      <c r="J86" s="194">
        <f t="shared" si="59"/>
        <v>0</v>
      </c>
      <c r="K86" s="139"/>
      <c r="L86" s="139"/>
      <c r="M86" s="220"/>
      <c r="N86" s="220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54">
        <v>14.0</v>
      </c>
      <c r="B87" s="192"/>
      <c r="C87" s="192"/>
      <c r="D87" s="192"/>
      <c r="E87" s="192"/>
      <c r="F87" s="192">
        <f t="shared" si="53"/>
        <v>1</v>
      </c>
      <c r="G87" s="192">
        <f t="shared" si="54"/>
        <v>0</v>
      </c>
      <c r="H87" s="193">
        <f t="shared" si="55"/>
        <v>0</v>
      </c>
      <c r="I87" s="192"/>
      <c r="J87" s="194">
        <f t="shared" si="59"/>
        <v>0</v>
      </c>
      <c r="K87" s="139"/>
      <c r="L87" s="139"/>
      <c r="M87" s="220"/>
      <c r="N87" s="220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4.75" customHeight="1">
      <c r="A88" s="160"/>
      <c r="B88" s="195"/>
      <c r="C88" s="195"/>
      <c r="D88" s="195"/>
      <c r="E88" s="195"/>
      <c r="F88" s="195"/>
      <c r="G88" s="195"/>
      <c r="H88" s="221" t="s">
        <v>38</v>
      </c>
      <c r="I88" s="195"/>
      <c r="J88" s="222">
        <f>SUM(J74:J87)</f>
        <v>0</v>
      </c>
      <c r="K88" s="139"/>
      <c r="L88" s="139"/>
      <c r="M88" s="139"/>
      <c r="N88" s="139"/>
      <c r="O88" s="139"/>
      <c r="P88" s="139"/>
      <c r="Q88" s="139"/>
      <c r="R88" s="141"/>
      <c r="S88" s="223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18.75" customHeight="1">
      <c r="A89" s="174"/>
      <c r="B89" s="144"/>
      <c r="C89" s="144"/>
      <c r="D89" s="144"/>
      <c r="E89" s="144"/>
      <c r="F89" s="144"/>
      <c r="G89" s="144"/>
      <c r="H89" s="145"/>
      <c r="I89" s="144"/>
      <c r="J89" s="175"/>
      <c r="K89" s="139"/>
      <c r="L89" s="139"/>
      <c r="M89" s="139"/>
      <c r="N89" s="139"/>
      <c r="O89" s="139"/>
      <c r="P89" s="139"/>
      <c r="Q89" s="139"/>
      <c r="R89" s="141"/>
      <c r="S89" s="223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41"/>
      <c r="S90" s="223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223"/>
      <c r="S91" s="223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18.75" customHeight="1">
      <c r="A92" s="139" t="s">
        <v>39</v>
      </c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223"/>
      <c r="S92" s="223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18.7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39"/>
      <c r="R93" s="223"/>
      <c r="S93" s="223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42.0" customHeight="1">
      <c r="A94" s="177"/>
      <c r="B94" s="160" t="s">
        <v>12</v>
      </c>
      <c r="C94" s="178" t="s">
        <v>61</v>
      </c>
      <c r="D94" s="52"/>
      <c r="E94" s="53"/>
      <c r="F94" s="224"/>
      <c r="G94" s="224"/>
      <c r="H94" s="180" t="s">
        <v>14</v>
      </c>
      <c r="I94" s="225" t="s">
        <v>15</v>
      </c>
      <c r="J94" s="160" t="s">
        <v>16</v>
      </c>
      <c r="K94" s="139"/>
      <c r="L94" s="139"/>
      <c r="M94" s="139"/>
      <c r="N94" s="139"/>
      <c r="O94" s="139"/>
      <c r="P94" s="139"/>
      <c r="Q94" s="139"/>
      <c r="R94" s="223"/>
      <c r="S94" s="223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4.75" customHeight="1">
      <c r="A95" s="160">
        <v>1.0</v>
      </c>
      <c r="B95" s="182" t="s">
        <v>66</v>
      </c>
      <c r="C95" s="198"/>
      <c r="D95" s="198"/>
      <c r="E95" s="198"/>
      <c r="F95" s="198"/>
      <c r="G95" s="198"/>
      <c r="H95" s="226">
        <v>53.0</v>
      </c>
      <c r="I95" s="198">
        <v>1.0</v>
      </c>
      <c r="J95" s="194">
        <f t="shared" ref="J95:J129" si="60">+I95*H95</f>
        <v>53</v>
      </c>
      <c r="K95" s="177"/>
      <c r="L95" s="177"/>
      <c r="M95" s="177"/>
      <c r="N95" s="177"/>
      <c r="O95" s="177"/>
      <c r="P95" s="177"/>
      <c r="Q95" s="227"/>
      <c r="R95" s="223"/>
      <c r="S95" s="223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4.75" customHeight="1">
      <c r="A96" s="160">
        <v>2.0</v>
      </c>
      <c r="B96" s="192" t="s">
        <v>66</v>
      </c>
      <c r="C96" s="198"/>
      <c r="D96" s="198"/>
      <c r="E96" s="198"/>
      <c r="F96" s="198"/>
      <c r="G96" s="198"/>
      <c r="H96" s="226">
        <v>29.0</v>
      </c>
      <c r="I96" s="198">
        <v>1.0</v>
      </c>
      <c r="J96" s="194">
        <f t="shared" si="60"/>
        <v>29</v>
      </c>
      <c r="K96" s="177"/>
      <c r="L96" s="177"/>
      <c r="M96" s="177"/>
      <c r="N96" s="177"/>
      <c r="O96" s="177"/>
      <c r="P96" s="177"/>
      <c r="Q96" s="227"/>
      <c r="R96" s="223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4.75" customHeight="1">
      <c r="A97" s="160">
        <v>3.0</v>
      </c>
      <c r="B97" s="182" t="s">
        <v>102</v>
      </c>
      <c r="C97" s="198"/>
      <c r="D97" s="198"/>
      <c r="E97" s="198"/>
      <c r="F97" s="198"/>
      <c r="G97" s="198"/>
      <c r="H97" s="226">
        <v>26.0</v>
      </c>
      <c r="I97" s="198">
        <v>1.0</v>
      </c>
      <c r="J97" s="194">
        <f t="shared" si="60"/>
        <v>26</v>
      </c>
      <c r="K97" s="177"/>
      <c r="L97" s="177"/>
      <c r="M97" s="177"/>
      <c r="N97" s="177"/>
      <c r="O97" s="177"/>
      <c r="P97" s="177"/>
      <c r="Q97" s="227"/>
      <c r="R97" s="223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4.75" customHeight="1">
      <c r="A98" s="160">
        <v>4.0</v>
      </c>
      <c r="B98" s="192" t="s">
        <v>102</v>
      </c>
      <c r="C98" s="198"/>
      <c r="D98" s="198"/>
      <c r="E98" s="198"/>
      <c r="F98" s="198"/>
      <c r="G98" s="198"/>
      <c r="H98" s="226">
        <v>12.0</v>
      </c>
      <c r="I98" s="198">
        <v>1.0</v>
      </c>
      <c r="J98" s="194">
        <f t="shared" si="60"/>
        <v>12</v>
      </c>
      <c r="K98" s="177"/>
      <c r="L98" s="177"/>
      <c r="M98" s="177"/>
      <c r="N98" s="177"/>
      <c r="O98" s="177"/>
      <c r="P98" s="177"/>
      <c r="Q98" s="227"/>
      <c r="R98" s="223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4.75" customHeight="1">
      <c r="A99" s="160">
        <v>5.0</v>
      </c>
      <c r="B99" s="182" t="s">
        <v>24</v>
      </c>
      <c r="C99" s="198"/>
      <c r="D99" s="198"/>
      <c r="E99" s="198"/>
      <c r="F99" s="198"/>
      <c r="G99" s="198"/>
      <c r="H99" s="226">
        <v>28.0</v>
      </c>
      <c r="I99" s="198">
        <v>1.0</v>
      </c>
      <c r="J99" s="194">
        <f t="shared" si="60"/>
        <v>28</v>
      </c>
      <c r="K99" s="177"/>
      <c r="L99" s="177"/>
      <c r="M99" s="177"/>
      <c r="N99" s="177"/>
      <c r="O99" s="177"/>
      <c r="P99" s="177"/>
      <c r="Q99" s="227"/>
      <c r="R99" s="223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4.75" customHeight="1">
      <c r="A100" s="160">
        <v>6.0</v>
      </c>
      <c r="B100" s="192" t="s">
        <v>24</v>
      </c>
      <c r="C100" s="198"/>
      <c r="D100" s="198"/>
      <c r="E100" s="198"/>
      <c r="F100" s="198"/>
      <c r="G100" s="198"/>
      <c r="H100" s="226">
        <v>21.0</v>
      </c>
      <c r="I100" s="198">
        <v>1.0</v>
      </c>
      <c r="J100" s="194">
        <f t="shared" si="60"/>
        <v>21</v>
      </c>
      <c r="K100" s="177"/>
      <c r="L100" s="177"/>
      <c r="M100" s="177"/>
      <c r="N100" s="177"/>
      <c r="O100" s="177"/>
      <c r="P100" s="177"/>
      <c r="Q100" s="227"/>
      <c r="R100" s="223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4.75" customHeight="1">
      <c r="A101" s="160">
        <v>7.0</v>
      </c>
      <c r="B101" s="182" t="s">
        <v>73</v>
      </c>
      <c r="C101" s="198"/>
      <c r="D101" s="198"/>
      <c r="E101" s="198"/>
      <c r="F101" s="198"/>
      <c r="G101" s="198"/>
      <c r="H101" s="226">
        <v>26.0</v>
      </c>
      <c r="I101" s="198">
        <v>1.0</v>
      </c>
      <c r="J101" s="194">
        <f t="shared" si="60"/>
        <v>26</v>
      </c>
      <c r="K101" s="177"/>
      <c r="L101" s="177"/>
      <c r="M101" s="177"/>
      <c r="N101" s="177"/>
      <c r="O101" s="177"/>
      <c r="P101" s="177"/>
      <c r="Q101" s="227"/>
      <c r="R101" s="223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>
        <v>8.0</v>
      </c>
      <c r="B102" s="192" t="s">
        <v>73</v>
      </c>
      <c r="C102" s="198"/>
      <c r="D102" s="198"/>
      <c r="E102" s="198"/>
      <c r="F102" s="198"/>
      <c r="G102" s="198"/>
      <c r="H102" s="226">
        <v>20.0</v>
      </c>
      <c r="I102" s="198">
        <v>1.0</v>
      </c>
      <c r="J102" s="194">
        <f t="shared" si="60"/>
        <v>20</v>
      </c>
      <c r="K102" s="177"/>
      <c r="L102" s="177"/>
      <c r="M102" s="177"/>
      <c r="N102" s="177"/>
      <c r="O102" s="177"/>
      <c r="P102" s="177"/>
      <c r="Q102" s="227"/>
      <c r="R102" s="223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>
        <v>9.0</v>
      </c>
      <c r="B103" s="182" t="s">
        <v>98</v>
      </c>
      <c r="C103" s="198"/>
      <c r="D103" s="198"/>
      <c r="E103" s="198"/>
      <c r="F103" s="198"/>
      <c r="G103" s="198"/>
      <c r="H103" s="226">
        <v>39.0</v>
      </c>
      <c r="I103" s="198">
        <v>1.0</v>
      </c>
      <c r="J103" s="194">
        <f t="shared" si="60"/>
        <v>39</v>
      </c>
      <c r="K103" s="177"/>
      <c r="L103" s="177"/>
      <c r="M103" s="177"/>
      <c r="N103" s="177"/>
      <c r="O103" s="177"/>
      <c r="P103" s="177"/>
      <c r="Q103" s="227"/>
      <c r="R103" s="223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10.0</v>
      </c>
      <c r="B104" s="192" t="s">
        <v>98</v>
      </c>
      <c r="C104" s="198"/>
      <c r="D104" s="198"/>
      <c r="E104" s="198"/>
      <c r="F104" s="198"/>
      <c r="G104" s="198"/>
      <c r="H104" s="226">
        <v>27.0</v>
      </c>
      <c r="I104" s="198">
        <v>1.0</v>
      </c>
      <c r="J104" s="194">
        <f t="shared" si="60"/>
        <v>27</v>
      </c>
      <c r="K104" s="177"/>
      <c r="L104" s="177"/>
      <c r="M104" s="177"/>
      <c r="N104" s="177"/>
      <c r="O104" s="177"/>
      <c r="P104" s="177"/>
      <c r="Q104" s="227"/>
      <c r="R104" s="223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hidden="1" customHeight="1">
      <c r="A105" s="160">
        <v>11.0</v>
      </c>
      <c r="B105" s="228"/>
      <c r="C105" s="198"/>
      <c r="D105" s="198"/>
      <c r="E105" s="198"/>
      <c r="F105" s="198"/>
      <c r="G105" s="198"/>
      <c r="H105" s="226"/>
      <c r="I105" s="198"/>
      <c r="J105" s="194">
        <f t="shared" si="60"/>
        <v>0</v>
      </c>
      <c r="K105" s="177"/>
      <c r="L105" s="177"/>
      <c r="M105" s="177"/>
      <c r="N105" s="177"/>
      <c r="O105" s="177"/>
      <c r="P105" s="177"/>
      <c r="Q105" s="227"/>
      <c r="R105" s="223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hidden="1" customHeight="1">
      <c r="A106" s="160">
        <v>12.0</v>
      </c>
      <c r="B106" s="228"/>
      <c r="C106" s="198"/>
      <c r="D106" s="198"/>
      <c r="E106" s="198"/>
      <c r="F106" s="198"/>
      <c r="G106" s="198"/>
      <c r="H106" s="226"/>
      <c r="I106" s="198"/>
      <c r="J106" s="194">
        <f t="shared" si="60"/>
        <v>0</v>
      </c>
      <c r="K106" s="177"/>
      <c r="L106" s="177"/>
      <c r="M106" s="177"/>
      <c r="N106" s="177"/>
      <c r="O106" s="177"/>
      <c r="P106" s="177"/>
      <c r="Q106" s="227"/>
      <c r="R106" s="223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hidden="1" customHeight="1">
      <c r="A107" s="160">
        <v>13.0</v>
      </c>
      <c r="B107" s="228"/>
      <c r="C107" s="198"/>
      <c r="D107" s="198"/>
      <c r="E107" s="198"/>
      <c r="F107" s="198"/>
      <c r="G107" s="198"/>
      <c r="H107" s="226"/>
      <c r="I107" s="198"/>
      <c r="J107" s="194">
        <f t="shared" si="60"/>
        <v>0</v>
      </c>
      <c r="K107" s="177"/>
      <c r="L107" s="177"/>
      <c r="M107" s="177"/>
      <c r="N107" s="177"/>
      <c r="O107" s="177"/>
      <c r="P107" s="177"/>
      <c r="Q107" s="227"/>
      <c r="R107" s="223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hidden="1" customHeight="1">
      <c r="A108" s="160">
        <v>14.0</v>
      </c>
      <c r="B108" s="228"/>
      <c r="C108" s="198"/>
      <c r="D108" s="198"/>
      <c r="E108" s="198"/>
      <c r="F108" s="198"/>
      <c r="G108" s="198"/>
      <c r="H108" s="226"/>
      <c r="I108" s="198"/>
      <c r="J108" s="194">
        <f t="shared" si="60"/>
        <v>0</v>
      </c>
      <c r="K108" s="177"/>
      <c r="L108" s="177"/>
      <c r="M108" s="177"/>
      <c r="N108" s="177"/>
      <c r="O108" s="177"/>
      <c r="P108" s="177"/>
      <c r="Q108" s="227"/>
      <c r="R108" s="223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hidden="1" customHeight="1">
      <c r="A109" s="160">
        <v>15.0</v>
      </c>
      <c r="B109" s="228"/>
      <c r="C109" s="198"/>
      <c r="D109" s="198"/>
      <c r="E109" s="198"/>
      <c r="F109" s="198"/>
      <c r="G109" s="198"/>
      <c r="H109" s="226"/>
      <c r="I109" s="198"/>
      <c r="J109" s="194">
        <f t="shared" si="60"/>
        <v>0</v>
      </c>
      <c r="K109" s="177"/>
      <c r="L109" s="177"/>
      <c r="M109" s="177"/>
      <c r="N109" s="177"/>
      <c r="O109" s="177"/>
      <c r="P109" s="177"/>
      <c r="Q109" s="227"/>
      <c r="R109" s="223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hidden="1" customHeight="1">
      <c r="A110" s="160">
        <v>16.0</v>
      </c>
      <c r="B110" s="228"/>
      <c r="C110" s="198"/>
      <c r="D110" s="198"/>
      <c r="E110" s="198"/>
      <c r="F110" s="198"/>
      <c r="G110" s="198"/>
      <c r="H110" s="226"/>
      <c r="I110" s="198"/>
      <c r="J110" s="194">
        <f t="shared" si="60"/>
        <v>0</v>
      </c>
      <c r="K110" s="177"/>
      <c r="L110" s="177"/>
      <c r="M110" s="177"/>
      <c r="N110" s="177"/>
      <c r="O110" s="177"/>
      <c r="P110" s="177"/>
      <c r="Q110" s="227"/>
      <c r="R110" s="223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hidden="1" customHeight="1">
      <c r="A111" s="160">
        <v>17.0</v>
      </c>
      <c r="B111" s="228"/>
      <c r="C111" s="198"/>
      <c r="D111" s="198"/>
      <c r="E111" s="198"/>
      <c r="F111" s="198"/>
      <c r="G111" s="198"/>
      <c r="H111" s="226"/>
      <c r="I111" s="198"/>
      <c r="J111" s="194">
        <f t="shared" si="60"/>
        <v>0</v>
      </c>
      <c r="K111" s="177"/>
      <c r="L111" s="177"/>
      <c r="M111" s="177"/>
      <c r="N111" s="177"/>
      <c r="O111" s="177"/>
      <c r="P111" s="177"/>
      <c r="Q111" s="227"/>
      <c r="R111" s="223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hidden="1" customHeight="1">
      <c r="A112" s="160">
        <v>18.0</v>
      </c>
      <c r="B112" s="228"/>
      <c r="C112" s="198"/>
      <c r="D112" s="198"/>
      <c r="E112" s="198"/>
      <c r="F112" s="198"/>
      <c r="G112" s="198"/>
      <c r="H112" s="226"/>
      <c r="I112" s="198"/>
      <c r="J112" s="194">
        <f t="shared" si="60"/>
        <v>0</v>
      </c>
      <c r="K112" s="177"/>
      <c r="L112" s="177"/>
      <c r="M112" s="177"/>
      <c r="N112" s="177"/>
      <c r="O112" s="177"/>
      <c r="P112" s="177"/>
      <c r="Q112" s="227"/>
      <c r="R112" s="223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hidden="1" customHeight="1">
      <c r="A113" s="160">
        <v>19.0</v>
      </c>
      <c r="B113" s="228"/>
      <c r="C113" s="198"/>
      <c r="D113" s="198"/>
      <c r="E113" s="198"/>
      <c r="F113" s="198"/>
      <c r="G113" s="198"/>
      <c r="H113" s="226"/>
      <c r="I113" s="198"/>
      <c r="J113" s="194">
        <f t="shared" si="60"/>
        <v>0</v>
      </c>
      <c r="K113" s="177"/>
      <c r="L113" s="177"/>
      <c r="M113" s="177"/>
      <c r="N113" s="177"/>
      <c r="O113" s="177"/>
      <c r="P113" s="177"/>
      <c r="Q113" s="227"/>
      <c r="R113" s="140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hidden="1" customHeight="1">
      <c r="A114" s="160">
        <v>20.0</v>
      </c>
      <c r="B114" s="228"/>
      <c r="C114" s="198"/>
      <c r="D114" s="198"/>
      <c r="E114" s="198"/>
      <c r="F114" s="198"/>
      <c r="G114" s="198"/>
      <c r="H114" s="226"/>
      <c r="I114" s="198"/>
      <c r="J114" s="194">
        <f t="shared" si="60"/>
        <v>0</v>
      </c>
      <c r="K114" s="177"/>
      <c r="L114" s="177"/>
      <c r="M114" s="177"/>
      <c r="N114" s="177"/>
      <c r="O114" s="177"/>
      <c r="P114" s="177"/>
      <c r="Q114" s="227"/>
      <c r="R114" s="223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hidden="1" customHeight="1">
      <c r="A115" s="160">
        <v>21.0</v>
      </c>
      <c r="B115" s="228"/>
      <c r="C115" s="198"/>
      <c r="D115" s="198"/>
      <c r="E115" s="198"/>
      <c r="F115" s="198"/>
      <c r="G115" s="198"/>
      <c r="H115" s="226"/>
      <c r="I115" s="198"/>
      <c r="J115" s="194">
        <f t="shared" si="60"/>
        <v>0</v>
      </c>
      <c r="K115" s="177"/>
      <c r="L115" s="177"/>
      <c r="M115" s="177"/>
      <c r="N115" s="177"/>
      <c r="O115" s="177"/>
      <c r="P115" s="177"/>
      <c r="Q115" s="227"/>
      <c r="R115" s="223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hidden="1" customHeight="1">
      <c r="A116" s="160">
        <v>22.0</v>
      </c>
      <c r="B116" s="228"/>
      <c r="C116" s="198"/>
      <c r="D116" s="198"/>
      <c r="E116" s="198"/>
      <c r="F116" s="198"/>
      <c r="G116" s="198"/>
      <c r="H116" s="226"/>
      <c r="I116" s="198"/>
      <c r="J116" s="194">
        <f t="shared" si="60"/>
        <v>0</v>
      </c>
      <c r="K116" s="177"/>
      <c r="L116" s="177"/>
      <c r="M116" s="177"/>
      <c r="N116" s="177"/>
      <c r="O116" s="177"/>
      <c r="P116" s="177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hidden="1" customHeight="1">
      <c r="A117" s="160">
        <v>23.0</v>
      </c>
      <c r="B117" s="228"/>
      <c r="C117" s="198"/>
      <c r="D117" s="198"/>
      <c r="E117" s="198"/>
      <c r="F117" s="198"/>
      <c r="G117" s="198"/>
      <c r="H117" s="226"/>
      <c r="I117" s="198"/>
      <c r="J117" s="194">
        <f t="shared" si="60"/>
        <v>0</v>
      </c>
      <c r="K117" s="177"/>
      <c r="L117" s="177"/>
      <c r="M117" s="177"/>
      <c r="N117" s="177"/>
      <c r="O117" s="177"/>
      <c r="P117" s="177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hidden="1" customHeight="1">
      <c r="A118" s="160">
        <v>24.0</v>
      </c>
      <c r="B118" s="228"/>
      <c r="C118" s="198"/>
      <c r="D118" s="198"/>
      <c r="E118" s="198"/>
      <c r="F118" s="198"/>
      <c r="G118" s="198"/>
      <c r="H118" s="226"/>
      <c r="I118" s="198"/>
      <c r="J118" s="194">
        <f t="shared" si="60"/>
        <v>0</v>
      </c>
      <c r="K118" s="177"/>
      <c r="L118" s="177"/>
      <c r="M118" s="177"/>
      <c r="N118" s="177"/>
      <c r="O118" s="177"/>
      <c r="P118" s="177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hidden="1" customHeight="1">
      <c r="A119" s="160">
        <v>25.0</v>
      </c>
      <c r="B119" s="228"/>
      <c r="C119" s="198"/>
      <c r="D119" s="198"/>
      <c r="E119" s="198"/>
      <c r="F119" s="198"/>
      <c r="G119" s="198"/>
      <c r="H119" s="226"/>
      <c r="I119" s="198"/>
      <c r="J119" s="194">
        <f t="shared" si="60"/>
        <v>0</v>
      </c>
      <c r="K119" s="177"/>
      <c r="L119" s="177"/>
      <c r="M119" s="177"/>
      <c r="N119" s="177"/>
      <c r="O119" s="177"/>
      <c r="P119" s="177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hidden="1" customHeight="1">
      <c r="A120" s="160">
        <v>26.0</v>
      </c>
      <c r="B120" s="228"/>
      <c r="C120" s="198"/>
      <c r="D120" s="198"/>
      <c r="E120" s="198"/>
      <c r="F120" s="198"/>
      <c r="G120" s="198"/>
      <c r="H120" s="226"/>
      <c r="I120" s="198"/>
      <c r="J120" s="194">
        <f t="shared" si="60"/>
        <v>0</v>
      </c>
      <c r="K120" s="177"/>
      <c r="L120" s="177"/>
      <c r="M120" s="177"/>
      <c r="N120" s="177"/>
      <c r="O120" s="177"/>
      <c r="P120" s="177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hidden="1" customHeight="1">
      <c r="A121" s="160">
        <v>27.0</v>
      </c>
      <c r="B121" s="228"/>
      <c r="C121" s="198"/>
      <c r="D121" s="198"/>
      <c r="E121" s="198"/>
      <c r="F121" s="198"/>
      <c r="G121" s="198"/>
      <c r="H121" s="198"/>
      <c r="I121" s="198"/>
      <c r="J121" s="194">
        <f t="shared" si="60"/>
        <v>0</v>
      </c>
      <c r="K121" s="177"/>
      <c r="L121" s="177"/>
      <c r="M121" s="177"/>
      <c r="N121" s="177"/>
      <c r="O121" s="177"/>
      <c r="P121" s="177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hidden="1" customHeight="1">
      <c r="A122" s="160">
        <v>28.0</v>
      </c>
      <c r="B122" s="228"/>
      <c r="C122" s="198"/>
      <c r="D122" s="198"/>
      <c r="E122" s="198"/>
      <c r="F122" s="198"/>
      <c r="G122" s="198"/>
      <c r="H122" s="198"/>
      <c r="I122" s="198"/>
      <c r="J122" s="194">
        <f t="shared" si="60"/>
        <v>0</v>
      </c>
      <c r="K122" s="177"/>
      <c r="L122" s="177"/>
      <c r="M122" s="177"/>
      <c r="N122" s="177"/>
      <c r="O122" s="177"/>
      <c r="P122" s="177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hidden="1" customHeight="1">
      <c r="A123" s="160">
        <v>29.0</v>
      </c>
      <c r="B123" s="229"/>
      <c r="C123" s="198"/>
      <c r="D123" s="198"/>
      <c r="E123" s="198"/>
      <c r="F123" s="198"/>
      <c r="G123" s="198"/>
      <c r="H123" s="198"/>
      <c r="I123" s="198"/>
      <c r="J123" s="194">
        <f t="shared" si="60"/>
        <v>0</v>
      </c>
      <c r="K123" s="177"/>
      <c r="L123" s="177"/>
      <c r="M123" s="177"/>
      <c r="N123" s="177"/>
      <c r="O123" s="177"/>
      <c r="P123" s="177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hidden="1" customHeight="1">
      <c r="A124" s="160">
        <v>30.0</v>
      </c>
      <c r="B124" s="229"/>
      <c r="C124" s="198"/>
      <c r="D124" s="198"/>
      <c r="E124" s="198"/>
      <c r="F124" s="198"/>
      <c r="G124" s="198"/>
      <c r="H124" s="226"/>
      <c r="I124" s="198"/>
      <c r="J124" s="194">
        <f t="shared" si="60"/>
        <v>0</v>
      </c>
      <c r="K124" s="177"/>
      <c r="L124" s="177"/>
      <c r="M124" s="177"/>
      <c r="N124" s="177"/>
      <c r="O124" s="177"/>
      <c r="P124" s="177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hidden="1" customHeight="1">
      <c r="A125" s="160">
        <v>31.0</v>
      </c>
      <c r="B125" s="217"/>
      <c r="C125" s="198"/>
      <c r="D125" s="198"/>
      <c r="E125" s="198"/>
      <c r="F125" s="198"/>
      <c r="G125" s="198"/>
      <c r="H125" s="226"/>
      <c r="I125" s="198"/>
      <c r="J125" s="194">
        <f t="shared" si="60"/>
        <v>0</v>
      </c>
      <c r="K125" s="177"/>
      <c r="L125" s="177"/>
      <c r="M125" s="177"/>
      <c r="N125" s="177"/>
      <c r="O125" s="177"/>
      <c r="P125" s="177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hidden="1" customHeight="1">
      <c r="A126" s="160">
        <v>32.0</v>
      </c>
      <c r="B126" s="217"/>
      <c r="C126" s="160"/>
      <c r="D126" s="160"/>
      <c r="E126" s="160"/>
      <c r="F126" s="160"/>
      <c r="G126" s="160"/>
      <c r="H126" s="160"/>
      <c r="I126" s="160"/>
      <c r="J126" s="194">
        <f t="shared" si="60"/>
        <v>0</v>
      </c>
      <c r="K126" s="177"/>
      <c r="L126" s="177"/>
      <c r="M126" s="177"/>
      <c r="N126" s="177"/>
      <c r="O126" s="177"/>
      <c r="P126" s="177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hidden="1" customHeight="1">
      <c r="A127" s="160">
        <v>33.0</v>
      </c>
      <c r="B127" s="229"/>
      <c r="C127" s="160"/>
      <c r="D127" s="160"/>
      <c r="E127" s="160"/>
      <c r="F127" s="160"/>
      <c r="G127" s="160"/>
      <c r="H127" s="160"/>
      <c r="I127" s="160"/>
      <c r="J127" s="194">
        <f t="shared" si="60"/>
        <v>0</v>
      </c>
      <c r="K127" s="177"/>
      <c r="L127" s="177"/>
      <c r="M127" s="177"/>
      <c r="N127" s="177"/>
      <c r="O127" s="177"/>
      <c r="P127" s="177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hidden="1" customHeight="1">
      <c r="A128" s="160">
        <v>34.0</v>
      </c>
      <c r="B128" s="230"/>
      <c r="C128" s="160"/>
      <c r="D128" s="160"/>
      <c r="E128" s="160"/>
      <c r="F128" s="160"/>
      <c r="G128" s="160"/>
      <c r="H128" s="160"/>
      <c r="I128" s="160"/>
      <c r="J128" s="194">
        <f t="shared" si="60"/>
        <v>0</v>
      </c>
      <c r="K128" s="177"/>
      <c r="L128" s="177"/>
      <c r="M128" s="177"/>
      <c r="N128" s="177"/>
      <c r="O128" s="177"/>
      <c r="P128" s="177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hidden="1" customHeight="1">
      <c r="A129" s="160">
        <v>35.0</v>
      </c>
      <c r="B129" s="231"/>
      <c r="C129" s="160"/>
      <c r="D129" s="160"/>
      <c r="E129" s="160"/>
      <c r="F129" s="160"/>
      <c r="G129" s="160"/>
      <c r="H129" s="160"/>
      <c r="I129" s="160"/>
      <c r="J129" s="194">
        <f t="shared" si="60"/>
        <v>0</v>
      </c>
      <c r="K129" s="177"/>
      <c r="L129" s="177"/>
      <c r="M129" s="177"/>
      <c r="N129" s="177"/>
      <c r="O129" s="177"/>
      <c r="P129" s="177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 t="s">
        <v>38</v>
      </c>
      <c r="I130" s="139"/>
      <c r="J130" s="232">
        <f>SUM(J95:J129)</f>
        <v>281</v>
      </c>
      <c r="K130" s="233"/>
      <c r="L130" s="233"/>
      <c r="M130" s="233"/>
      <c r="N130" s="233"/>
      <c r="O130" s="233"/>
      <c r="P130" s="233"/>
      <c r="Q130" s="233"/>
      <c r="R130" s="139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144"/>
      <c r="B131" s="144"/>
      <c r="C131" s="144"/>
      <c r="D131" s="144"/>
      <c r="E131" s="144"/>
      <c r="F131" s="144"/>
      <c r="G131" s="144"/>
      <c r="H131" s="145"/>
      <c r="I131" s="173"/>
      <c r="J131" s="204">
        <f>+J130*60%</f>
        <v>168.6</v>
      </c>
      <c r="K131" s="204"/>
      <c r="L131" s="204"/>
      <c r="M131" s="204"/>
      <c r="N131" s="204"/>
      <c r="O131" s="204"/>
      <c r="P131" s="204"/>
      <c r="Q131" s="204">
        <f>+J130*40%</f>
        <v>112.4</v>
      </c>
      <c r="R131" s="139"/>
      <c r="S131" s="223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223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223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234" t="s">
        <v>41</v>
      </c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223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57.0" customHeight="1">
      <c r="A135" s="235"/>
      <c r="B135" s="236" t="s">
        <v>42</v>
      </c>
      <c r="C135" s="236" t="s">
        <v>43</v>
      </c>
      <c r="D135" s="236" t="s">
        <v>44</v>
      </c>
      <c r="E135" s="236" t="s">
        <v>45</v>
      </c>
      <c r="F135" s="236"/>
      <c r="G135" s="236"/>
      <c r="H135" s="237" t="s">
        <v>46</v>
      </c>
      <c r="I135" s="238" t="s">
        <v>47</v>
      </c>
      <c r="J135" s="139"/>
      <c r="K135" s="139"/>
      <c r="L135" s="139"/>
      <c r="M135" s="139"/>
      <c r="N135" s="139"/>
      <c r="O135" s="139"/>
      <c r="P135" s="139"/>
      <c r="Q135" s="139"/>
      <c r="R135" s="141"/>
      <c r="S135" s="223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239" t="s">
        <v>48</v>
      </c>
      <c r="B136" s="240">
        <f>+E25</f>
        <v>22070.643</v>
      </c>
      <c r="C136" s="241">
        <f>+J67</f>
        <v>19308.82985</v>
      </c>
      <c r="D136" s="241">
        <f>+J88</f>
        <v>0</v>
      </c>
      <c r="E136" s="242">
        <f>J131</f>
        <v>168.6</v>
      </c>
      <c r="F136" s="242"/>
      <c r="G136" s="242"/>
      <c r="H136" s="243">
        <f>+I25</f>
        <v>1873.574522</v>
      </c>
      <c r="I136" s="244">
        <f>+B136-C136-D136-E136-H136</f>
        <v>719.6386305</v>
      </c>
      <c r="J136" s="139"/>
      <c r="K136" s="139"/>
      <c r="L136" s="139"/>
      <c r="M136" s="139"/>
      <c r="N136" s="139"/>
      <c r="O136" s="139"/>
      <c r="P136" s="139"/>
      <c r="Q136" s="139"/>
      <c r="R136" s="141"/>
      <c r="S136" s="223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9.5" customHeight="1">
      <c r="A137" s="245" t="s">
        <v>49</v>
      </c>
      <c r="B137" s="246"/>
      <c r="C137" s="247">
        <f>+C136/B136</f>
        <v>0.8748648532</v>
      </c>
      <c r="D137" s="247">
        <f>+D136/B136</f>
        <v>0</v>
      </c>
      <c r="E137" s="247">
        <f>+E136/B136</f>
        <v>0.007639106844</v>
      </c>
      <c r="F137" s="247"/>
      <c r="G137" s="247"/>
      <c r="H137" s="248">
        <f>+H136/B136</f>
        <v>0.08488989295</v>
      </c>
      <c r="I137" s="249">
        <f>+I136/B136</f>
        <v>0.03260614702</v>
      </c>
      <c r="J137" s="139"/>
      <c r="K137" s="139"/>
      <c r="L137" s="139"/>
      <c r="M137" s="139"/>
      <c r="N137" s="139"/>
      <c r="O137" s="139"/>
      <c r="P137" s="139"/>
      <c r="Q137" s="139"/>
      <c r="R137" s="141"/>
      <c r="S137" s="223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9.5" customHeight="1">
      <c r="A138" s="163"/>
      <c r="B138" s="220"/>
      <c r="C138" s="250"/>
      <c r="D138" s="250"/>
      <c r="E138" s="250"/>
      <c r="F138" s="250"/>
      <c r="G138" s="250"/>
      <c r="H138" s="251"/>
      <c r="I138" s="252"/>
      <c r="J138" s="139"/>
      <c r="K138" s="139"/>
      <c r="L138" s="139"/>
      <c r="M138" s="139"/>
      <c r="N138" s="139"/>
      <c r="O138" s="139"/>
      <c r="P138" s="139"/>
      <c r="Q138" s="139"/>
      <c r="R138" s="141"/>
      <c r="S138" s="223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253"/>
      <c r="B139" s="254"/>
      <c r="C139" s="254"/>
      <c r="D139" s="254" t="s">
        <v>50</v>
      </c>
      <c r="E139" s="254" t="s">
        <v>48</v>
      </c>
      <c r="F139" s="254"/>
      <c r="G139" s="254"/>
      <c r="H139" s="255">
        <f>+D136+E136+H136+I136</f>
        <v>2761.813152</v>
      </c>
      <c r="I139" s="256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257"/>
      <c r="B140" s="139"/>
      <c r="C140" s="139"/>
      <c r="D140" s="139"/>
      <c r="E140" s="139" t="s">
        <v>49</v>
      </c>
      <c r="F140" s="139"/>
      <c r="G140" s="139"/>
      <c r="H140" s="251">
        <f>+H139/B136</f>
        <v>0.1251351468</v>
      </c>
      <c r="I140" s="258"/>
      <c r="J140" s="139"/>
      <c r="K140" s="139"/>
      <c r="L140" s="139"/>
      <c r="M140" s="139"/>
      <c r="N140" s="139"/>
      <c r="O140" s="139"/>
      <c r="P140" s="139"/>
      <c r="Q140" s="139"/>
      <c r="R140" s="141"/>
      <c r="S140" s="140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257"/>
      <c r="B141" s="139"/>
      <c r="C141" s="139" t="s">
        <v>51</v>
      </c>
      <c r="D141" s="139"/>
      <c r="E141" s="139"/>
      <c r="F141" s="139"/>
      <c r="G141" s="139"/>
      <c r="H141" s="140"/>
      <c r="I141" s="258"/>
      <c r="J141" s="139"/>
      <c r="K141" s="139"/>
      <c r="L141" s="139"/>
      <c r="M141" s="139"/>
      <c r="N141" s="139"/>
      <c r="O141" s="139"/>
      <c r="P141" s="139"/>
      <c r="Q141" s="139"/>
      <c r="R141" s="141"/>
      <c r="S141" s="140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257"/>
      <c r="B142" s="139"/>
      <c r="C142" s="139"/>
      <c r="D142" s="139" t="s">
        <v>52</v>
      </c>
      <c r="E142" s="139"/>
      <c r="F142" s="139"/>
      <c r="G142" s="139"/>
      <c r="H142" s="140">
        <f>+H141*(H139-H136)</f>
        <v>0</v>
      </c>
      <c r="I142" s="258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9.5" customHeight="1">
      <c r="A143" s="259"/>
      <c r="B143" s="260"/>
      <c r="C143" s="260"/>
      <c r="D143" s="260"/>
      <c r="E143" s="260"/>
      <c r="F143" s="260"/>
      <c r="G143" s="260"/>
      <c r="H143" s="261"/>
      <c r="I143" s="262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141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/>
      <c r="I146" s="139"/>
      <c r="J146" s="139"/>
      <c r="K146" s="139"/>
      <c r="L146" s="139"/>
      <c r="M146" s="139"/>
      <c r="N146" s="139"/>
      <c r="O146" s="139"/>
      <c r="P146" s="139"/>
      <c r="Q146" s="139"/>
      <c r="R146" s="141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7"/>
      <c r="R147" s="264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7"/>
      <c r="R148" s="264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7"/>
      <c r="R149" s="264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7"/>
      <c r="R150" s="264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7"/>
      <c r="R151" s="264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7"/>
      <c r="R152" s="264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7"/>
      <c r="R153" s="264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7"/>
      <c r="R154" s="264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7"/>
      <c r="R155" s="264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7"/>
      <c r="R156" s="264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7"/>
      <c r="R157" s="264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7"/>
      <c r="R158" s="264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7"/>
      <c r="R159" s="264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7"/>
      <c r="R160" s="264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7"/>
      <c r="R161" s="264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7"/>
      <c r="R162" s="264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7"/>
      <c r="R163" s="264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7"/>
      <c r="R164" s="264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7"/>
      <c r="R165" s="264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73:E73"/>
    <mergeCell ref="C94:E9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98</v>
      </c>
      <c r="C8" s="154">
        <v>24.5</v>
      </c>
      <c r="D8" s="155">
        <v>0.0563</v>
      </c>
      <c r="E8" s="156">
        <f>230.53*16.6</f>
        <v>3826.798</v>
      </c>
      <c r="F8" s="156"/>
      <c r="G8" s="156"/>
      <c r="H8" s="157">
        <v>16.6</v>
      </c>
      <c r="I8" s="158">
        <f t="shared" ref="I8:I21" si="1">+D8*E8</f>
        <v>215.4487274</v>
      </c>
      <c r="J8" s="159">
        <f t="shared" ref="J8:J21" si="2">E8-I8</f>
        <v>3611.349273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105</v>
      </c>
      <c r="C9" s="154">
        <v>20.5</v>
      </c>
      <c r="D9" s="155">
        <v>0.0813</v>
      </c>
      <c r="E9" s="156">
        <f>230.06*1</f>
        <v>230.06</v>
      </c>
      <c r="F9" s="156"/>
      <c r="G9" s="156"/>
      <c r="H9" s="157">
        <v>1.0</v>
      </c>
      <c r="I9" s="158">
        <f t="shared" si="1"/>
        <v>18.703878</v>
      </c>
      <c r="J9" s="159">
        <f t="shared" si="2"/>
        <v>211.356122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4056.858</v>
      </c>
      <c r="F22" s="168"/>
      <c r="G22" s="168"/>
      <c r="H22" s="169"/>
      <c r="I22" s="170">
        <f t="shared" ref="I22:J22" si="3">SUM(I8:I21)</f>
        <v>234.1526054</v>
      </c>
      <c r="J22" s="171">
        <f t="shared" si="3"/>
        <v>3822.705395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106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98</v>
      </c>
      <c r="C29" s="183">
        <v>99.0</v>
      </c>
      <c r="D29" s="183">
        <v>205.0</v>
      </c>
      <c r="E29" s="183">
        <v>176.0</v>
      </c>
      <c r="F29" s="183">
        <f t="shared" ref="F29:F208" si="5">VALUE(IF(RIGHT(B29, 1)="%", RIGHT(B29, 3), 0))</f>
        <v>0</v>
      </c>
      <c r="G29" s="183">
        <f t="shared" ref="G29:G208" si="6">+R29*C29/100*D29/100*E29/100</f>
        <v>87.51204</v>
      </c>
      <c r="H29" s="184">
        <f t="shared" ref="H29:H208" si="7">IF(F29=0, G29, F29*G29)</f>
        <v>87.51204</v>
      </c>
      <c r="I29" s="183">
        <v>1.0</v>
      </c>
      <c r="J29" s="185">
        <f t="shared" ref="J29:J208" si="8">+I29*H29</f>
        <v>87.51204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92.0</v>
      </c>
      <c r="R29" s="189">
        <v>24.5</v>
      </c>
      <c r="S29" s="177">
        <f t="shared" ref="S29:S209" si="9">E29/100</f>
        <v>1.76</v>
      </c>
      <c r="T29" s="160">
        <f t="shared" ref="T29:T209" si="10">I29</f>
        <v>1</v>
      </c>
      <c r="U29" s="160">
        <f t="shared" ref="U29:U209" si="11">T29*S29</f>
        <v>1.76</v>
      </c>
      <c r="V29" s="190">
        <f t="shared" ref="V29:V66" si="12">R29*C29/100*D29/100*E29/100</f>
        <v>87.51204</v>
      </c>
      <c r="W29" s="177">
        <f t="shared" ref="W29:X29" si="4">C29/100</f>
        <v>0.99</v>
      </c>
      <c r="X29" s="177">
        <f t="shared" si="4"/>
        <v>2.05</v>
      </c>
      <c r="Y29" s="177">
        <f t="shared" ref="Y29:Y209" si="14">U29</f>
        <v>1.76</v>
      </c>
      <c r="Z29" s="191">
        <f t="shared" ref="Z29:Z209" si="15">W29*X29*Y29</f>
        <v>3.57192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98</v>
      </c>
      <c r="C30" s="192">
        <v>94.0</v>
      </c>
      <c r="D30" s="192">
        <v>205.0</v>
      </c>
      <c r="E30" s="192">
        <v>201.0</v>
      </c>
      <c r="F30" s="192">
        <f t="shared" si="5"/>
        <v>0</v>
      </c>
      <c r="G30" s="192">
        <f t="shared" si="6"/>
        <v>94.895115</v>
      </c>
      <c r="H30" s="193">
        <f t="shared" si="7"/>
        <v>94.895115</v>
      </c>
      <c r="I30" s="192">
        <v>1.0</v>
      </c>
      <c r="J30" s="194">
        <f t="shared" si="8"/>
        <v>94.895115</v>
      </c>
      <c r="K30" s="139"/>
      <c r="L30" s="177"/>
      <c r="M30" s="160"/>
      <c r="N30" s="160"/>
      <c r="O30" s="139"/>
      <c r="P30" s="139"/>
      <c r="Q30" s="177">
        <v>100.0</v>
      </c>
      <c r="R30" s="189">
        <v>24.5</v>
      </c>
      <c r="S30" s="177">
        <f t="shared" si="9"/>
        <v>2.01</v>
      </c>
      <c r="T30" s="160">
        <f t="shared" si="10"/>
        <v>1</v>
      </c>
      <c r="U30" s="160">
        <f t="shared" si="11"/>
        <v>2.01</v>
      </c>
      <c r="V30" s="190">
        <f t="shared" si="12"/>
        <v>94.895115</v>
      </c>
      <c r="W30" s="177">
        <f t="shared" ref="W30:X30" si="13">C30/100</f>
        <v>0.94</v>
      </c>
      <c r="X30" s="177">
        <f t="shared" si="13"/>
        <v>2.05</v>
      </c>
      <c r="Y30" s="177">
        <f t="shared" si="14"/>
        <v>2.01</v>
      </c>
      <c r="Z30" s="191">
        <f t="shared" si="15"/>
        <v>3.87327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98</v>
      </c>
      <c r="C31" s="192">
        <v>68.0</v>
      </c>
      <c r="D31" s="192">
        <v>205.0</v>
      </c>
      <c r="E31" s="192">
        <v>180.0</v>
      </c>
      <c r="F31" s="192">
        <f t="shared" si="5"/>
        <v>0</v>
      </c>
      <c r="G31" s="192">
        <f t="shared" si="6"/>
        <v>61.4754</v>
      </c>
      <c r="H31" s="193">
        <f t="shared" si="7"/>
        <v>61.4754</v>
      </c>
      <c r="I31" s="192">
        <v>1.0</v>
      </c>
      <c r="J31" s="194">
        <f t="shared" si="8"/>
        <v>61.4754</v>
      </c>
      <c r="K31" s="139"/>
      <c r="L31" s="177">
        <f t="shared" ref="L31:L41" si="17">D31*25.4/1000</f>
        <v>5.207</v>
      </c>
      <c r="M31" s="160">
        <f t="shared" ref="M31:M41" si="18">+I31</f>
        <v>1</v>
      </c>
      <c r="N31" s="160">
        <f t="shared" ref="N31:N41" si="19">M31*L31</f>
        <v>5.207</v>
      </c>
      <c r="O31" s="139"/>
      <c r="P31" s="139"/>
      <c r="Q31" s="177">
        <v>80.0</v>
      </c>
      <c r="R31" s="189">
        <v>24.5</v>
      </c>
      <c r="S31" s="177">
        <f t="shared" si="9"/>
        <v>1.8</v>
      </c>
      <c r="T31" s="160">
        <f t="shared" si="10"/>
        <v>1</v>
      </c>
      <c r="U31" s="160">
        <f t="shared" si="11"/>
        <v>1.8</v>
      </c>
      <c r="V31" s="190">
        <f t="shared" si="12"/>
        <v>61.4754</v>
      </c>
      <c r="W31" s="177">
        <f t="shared" ref="W31:X31" si="16">C31/100</f>
        <v>0.68</v>
      </c>
      <c r="X31" s="177">
        <f t="shared" si="16"/>
        <v>2.05</v>
      </c>
      <c r="Y31" s="177">
        <f t="shared" si="14"/>
        <v>1.8</v>
      </c>
      <c r="Z31" s="191">
        <f t="shared" si="15"/>
        <v>2.5092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98</v>
      </c>
      <c r="C32" s="192">
        <v>95.0</v>
      </c>
      <c r="D32" s="192">
        <v>205.0</v>
      </c>
      <c r="E32" s="192">
        <v>206.0</v>
      </c>
      <c r="F32" s="192">
        <f t="shared" si="5"/>
        <v>0</v>
      </c>
      <c r="G32" s="192">
        <f t="shared" si="6"/>
        <v>98.290325</v>
      </c>
      <c r="H32" s="193">
        <f t="shared" si="7"/>
        <v>98.290325</v>
      </c>
      <c r="I32" s="192">
        <v>1.0</v>
      </c>
      <c r="J32" s="194">
        <f t="shared" si="8"/>
        <v>98.290325</v>
      </c>
      <c r="K32" s="139"/>
      <c r="L32" s="177">
        <f t="shared" si="17"/>
        <v>5.207</v>
      </c>
      <c r="M32" s="160">
        <f t="shared" si="18"/>
        <v>1</v>
      </c>
      <c r="N32" s="160">
        <f t="shared" si="19"/>
        <v>5.207</v>
      </c>
      <c r="O32" s="139"/>
      <c r="P32" s="139"/>
      <c r="Q32" s="177">
        <v>102.0</v>
      </c>
      <c r="R32" s="189">
        <v>24.5</v>
      </c>
      <c r="S32" s="177">
        <f t="shared" si="9"/>
        <v>2.06</v>
      </c>
      <c r="T32" s="160">
        <f t="shared" si="10"/>
        <v>1</v>
      </c>
      <c r="U32" s="160">
        <f t="shared" si="11"/>
        <v>2.06</v>
      </c>
      <c r="V32" s="190">
        <f t="shared" si="12"/>
        <v>98.290325</v>
      </c>
      <c r="W32" s="177">
        <f t="shared" ref="W32:X32" si="20">C32/100</f>
        <v>0.95</v>
      </c>
      <c r="X32" s="177">
        <f t="shared" si="20"/>
        <v>2.05</v>
      </c>
      <c r="Y32" s="177">
        <f t="shared" si="14"/>
        <v>2.06</v>
      </c>
      <c r="Z32" s="191">
        <f t="shared" si="15"/>
        <v>4.01185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98</v>
      </c>
      <c r="C33" s="192">
        <v>74.0</v>
      </c>
      <c r="D33" s="192">
        <v>205.0</v>
      </c>
      <c r="E33" s="192">
        <v>77.0</v>
      </c>
      <c r="F33" s="192">
        <f t="shared" si="5"/>
        <v>0</v>
      </c>
      <c r="G33" s="192">
        <f t="shared" si="6"/>
        <v>28.618205</v>
      </c>
      <c r="H33" s="193">
        <f t="shared" si="7"/>
        <v>28.618205</v>
      </c>
      <c r="I33" s="192">
        <v>1.0</v>
      </c>
      <c r="J33" s="194">
        <f t="shared" si="8"/>
        <v>28.618205</v>
      </c>
      <c r="K33" s="139"/>
      <c r="L33" s="177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7">
        <v>51.0</v>
      </c>
      <c r="R33" s="189">
        <v>24.5</v>
      </c>
      <c r="S33" s="177">
        <f t="shared" si="9"/>
        <v>0.77</v>
      </c>
      <c r="T33" s="160">
        <f t="shared" si="10"/>
        <v>1</v>
      </c>
      <c r="U33" s="160">
        <f t="shared" si="11"/>
        <v>0.77</v>
      </c>
      <c r="V33" s="190">
        <f t="shared" si="12"/>
        <v>28.618205</v>
      </c>
      <c r="W33" s="177">
        <f t="shared" ref="W33:X33" si="21">C33/100</f>
        <v>0.74</v>
      </c>
      <c r="X33" s="177">
        <f t="shared" si="21"/>
        <v>2.05</v>
      </c>
      <c r="Y33" s="177">
        <f t="shared" si="14"/>
        <v>0.77</v>
      </c>
      <c r="Z33" s="191">
        <f t="shared" si="15"/>
        <v>1.16809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98</v>
      </c>
      <c r="C34" s="192">
        <v>94.0</v>
      </c>
      <c r="D34" s="192">
        <v>205.0</v>
      </c>
      <c r="E34" s="192">
        <v>72.0</v>
      </c>
      <c r="F34" s="192">
        <f t="shared" si="5"/>
        <v>0</v>
      </c>
      <c r="G34" s="192">
        <f t="shared" si="6"/>
        <v>33.99228</v>
      </c>
      <c r="H34" s="193">
        <f t="shared" si="7"/>
        <v>33.99228</v>
      </c>
      <c r="I34" s="192">
        <v>1.0</v>
      </c>
      <c r="J34" s="194">
        <f t="shared" si="8"/>
        <v>33.99228</v>
      </c>
      <c r="K34" s="139"/>
      <c r="L34" s="177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7">
        <v>51.0</v>
      </c>
      <c r="R34" s="189">
        <v>24.5</v>
      </c>
      <c r="S34" s="177">
        <f t="shared" si="9"/>
        <v>0.72</v>
      </c>
      <c r="T34" s="160">
        <f t="shared" si="10"/>
        <v>1</v>
      </c>
      <c r="U34" s="160">
        <f t="shared" si="11"/>
        <v>0.72</v>
      </c>
      <c r="V34" s="190">
        <f t="shared" si="12"/>
        <v>33.99228</v>
      </c>
      <c r="W34" s="177">
        <f t="shared" ref="W34:X34" si="22">C34/100</f>
        <v>0.94</v>
      </c>
      <c r="X34" s="177">
        <f t="shared" si="22"/>
        <v>2.05</v>
      </c>
      <c r="Y34" s="177">
        <f t="shared" si="14"/>
        <v>0.72</v>
      </c>
      <c r="Z34" s="191">
        <f t="shared" si="15"/>
        <v>1.38744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98</v>
      </c>
      <c r="C35" s="192">
        <v>96.0</v>
      </c>
      <c r="D35" s="192">
        <v>204.0</v>
      </c>
      <c r="E35" s="192">
        <v>2860.0</v>
      </c>
      <c r="F35" s="192">
        <f t="shared" si="5"/>
        <v>0</v>
      </c>
      <c r="G35" s="192">
        <f t="shared" si="6"/>
        <v>1372.25088</v>
      </c>
      <c r="H35" s="193">
        <f t="shared" si="7"/>
        <v>1372.25088</v>
      </c>
      <c r="I35" s="192">
        <v>1.0</v>
      </c>
      <c r="J35" s="194">
        <f t="shared" si="8"/>
        <v>1372.25088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1415.0</v>
      </c>
      <c r="R35" s="189">
        <v>24.5</v>
      </c>
      <c r="S35" s="177">
        <f t="shared" si="9"/>
        <v>28.6</v>
      </c>
      <c r="T35" s="160">
        <f t="shared" si="10"/>
        <v>1</v>
      </c>
      <c r="U35" s="160">
        <f t="shared" si="11"/>
        <v>28.6</v>
      </c>
      <c r="V35" s="190">
        <f t="shared" si="12"/>
        <v>1372.25088</v>
      </c>
      <c r="W35" s="177">
        <f t="shared" ref="W35:X35" si="23">C35/100</f>
        <v>0.96</v>
      </c>
      <c r="X35" s="177">
        <f t="shared" si="23"/>
        <v>2.04</v>
      </c>
      <c r="Y35" s="177">
        <f t="shared" si="14"/>
        <v>28.6</v>
      </c>
      <c r="Z35" s="191">
        <f t="shared" si="15"/>
        <v>56.01024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98</v>
      </c>
      <c r="C36" s="192">
        <v>95.0</v>
      </c>
      <c r="D36" s="192">
        <v>204.0</v>
      </c>
      <c r="E36" s="192">
        <v>2855.0</v>
      </c>
      <c r="F36" s="192">
        <f t="shared" si="5"/>
        <v>0</v>
      </c>
      <c r="G36" s="192">
        <f t="shared" si="6"/>
        <v>1355.58255</v>
      </c>
      <c r="H36" s="193">
        <f t="shared" si="7"/>
        <v>1355.58255</v>
      </c>
      <c r="I36" s="192">
        <v>1.0</v>
      </c>
      <c r="J36" s="194">
        <f t="shared" si="8"/>
        <v>1355.58255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1405.0</v>
      </c>
      <c r="R36" s="189">
        <v>24.5</v>
      </c>
      <c r="S36" s="177">
        <f t="shared" si="9"/>
        <v>28.55</v>
      </c>
      <c r="T36" s="160">
        <f t="shared" si="10"/>
        <v>1</v>
      </c>
      <c r="U36" s="160">
        <f t="shared" si="11"/>
        <v>28.55</v>
      </c>
      <c r="V36" s="190">
        <f t="shared" si="12"/>
        <v>1355.58255</v>
      </c>
      <c r="W36" s="177">
        <f t="shared" ref="W36:X36" si="24">C36/100</f>
        <v>0.95</v>
      </c>
      <c r="X36" s="177">
        <f t="shared" si="24"/>
        <v>2.04</v>
      </c>
      <c r="Y36" s="177">
        <f t="shared" si="14"/>
        <v>28.55</v>
      </c>
      <c r="Z36" s="191">
        <f t="shared" si="15"/>
        <v>55.3299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82" t="s">
        <v>85</v>
      </c>
      <c r="C37" s="183">
        <v>97.0</v>
      </c>
      <c r="D37" s="183">
        <v>205.0</v>
      </c>
      <c r="E37" s="183">
        <v>200.0</v>
      </c>
      <c r="F37" s="183">
        <f t="shared" si="5"/>
        <v>0</v>
      </c>
      <c r="G37" s="183">
        <f t="shared" si="6"/>
        <v>81.5285</v>
      </c>
      <c r="H37" s="184">
        <f t="shared" si="7"/>
        <v>81.5285</v>
      </c>
      <c r="I37" s="183">
        <v>1.0</v>
      </c>
      <c r="J37" s="185">
        <f t="shared" si="8"/>
        <v>81.5285</v>
      </c>
      <c r="K37" s="186"/>
      <c r="L37" s="187">
        <f t="shared" si="17"/>
        <v>5.207</v>
      </c>
      <c r="M37" s="188">
        <f t="shared" si="18"/>
        <v>1</v>
      </c>
      <c r="N37" s="188">
        <f t="shared" si="19"/>
        <v>5.207</v>
      </c>
      <c r="O37" s="186"/>
      <c r="P37" s="186"/>
      <c r="Q37" s="187">
        <v>91.0</v>
      </c>
      <c r="R37" s="189">
        <v>20.5</v>
      </c>
      <c r="S37" s="177">
        <f t="shared" si="9"/>
        <v>2</v>
      </c>
      <c r="T37" s="160">
        <f t="shared" si="10"/>
        <v>1</v>
      </c>
      <c r="U37" s="160">
        <f t="shared" si="11"/>
        <v>2</v>
      </c>
      <c r="V37" s="190">
        <f t="shared" si="12"/>
        <v>81.5285</v>
      </c>
      <c r="W37" s="177">
        <f t="shared" ref="W37:X37" si="25">C37/100</f>
        <v>0.97</v>
      </c>
      <c r="X37" s="177">
        <f t="shared" si="25"/>
        <v>2.05</v>
      </c>
      <c r="Y37" s="177">
        <f t="shared" si="14"/>
        <v>2</v>
      </c>
      <c r="Z37" s="191">
        <f t="shared" si="15"/>
        <v>3.977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85</v>
      </c>
      <c r="C38" s="192">
        <v>79.0</v>
      </c>
      <c r="D38" s="192">
        <v>205.0</v>
      </c>
      <c r="E38" s="192">
        <v>204.0</v>
      </c>
      <c r="F38" s="192">
        <f t="shared" si="5"/>
        <v>0</v>
      </c>
      <c r="G38" s="192">
        <f t="shared" si="6"/>
        <v>67.72749</v>
      </c>
      <c r="H38" s="193">
        <f t="shared" si="7"/>
        <v>67.72749</v>
      </c>
      <c r="I38" s="192">
        <v>1.0</v>
      </c>
      <c r="J38" s="194">
        <f t="shared" si="8"/>
        <v>67.72749</v>
      </c>
      <c r="K38" s="139"/>
      <c r="L38" s="177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7">
        <v>88.0</v>
      </c>
      <c r="R38" s="189">
        <v>20.5</v>
      </c>
      <c r="S38" s="177">
        <f t="shared" si="9"/>
        <v>2.04</v>
      </c>
      <c r="T38" s="160">
        <f t="shared" si="10"/>
        <v>1</v>
      </c>
      <c r="U38" s="160">
        <f t="shared" si="11"/>
        <v>2.04</v>
      </c>
      <c r="V38" s="190">
        <f t="shared" si="12"/>
        <v>67.72749</v>
      </c>
      <c r="W38" s="177">
        <f t="shared" ref="W38:X38" si="26">C38/100</f>
        <v>0.79</v>
      </c>
      <c r="X38" s="177">
        <f t="shared" si="26"/>
        <v>2.05</v>
      </c>
      <c r="Y38" s="177">
        <f t="shared" si="14"/>
        <v>2.04</v>
      </c>
      <c r="Z38" s="191">
        <f t="shared" si="15"/>
        <v>3.30378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85</v>
      </c>
      <c r="C39" s="192">
        <v>89.0</v>
      </c>
      <c r="D39" s="192">
        <v>205.0</v>
      </c>
      <c r="E39" s="192">
        <v>127.0</v>
      </c>
      <c r="F39" s="192">
        <f t="shared" si="5"/>
        <v>0</v>
      </c>
      <c r="G39" s="192">
        <f t="shared" si="6"/>
        <v>47.5008575</v>
      </c>
      <c r="H39" s="193">
        <f t="shared" si="7"/>
        <v>47.5008575</v>
      </c>
      <c r="I39" s="192">
        <v>1.0</v>
      </c>
      <c r="J39" s="194">
        <f t="shared" si="8"/>
        <v>47.5008575</v>
      </c>
      <c r="K39" s="139"/>
      <c r="L39" s="177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7">
        <v>56.0</v>
      </c>
      <c r="R39" s="189">
        <v>20.5</v>
      </c>
      <c r="S39" s="177">
        <f t="shared" si="9"/>
        <v>1.27</v>
      </c>
      <c r="T39" s="160">
        <f t="shared" si="10"/>
        <v>1</v>
      </c>
      <c r="U39" s="160">
        <f t="shared" si="11"/>
        <v>1.27</v>
      </c>
      <c r="V39" s="190">
        <f t="shared" si="12"/>
        <v>47.5008575</v>
      </c>
      <c r="W39" s="177">
        <f t="shared" ref="W39:X39" si="27">C39/100</f>
        <v>0.89</v>
      </c>
      <c r="X39" s="177">
        <f t="shared" si="27"/>
        <v>2.05</v>
      </c>
      <c r="Y39" s="177">
        <f t="shared" si="14"/>
        <v>1.27</v>
      </c>
      <c r="Z39" s="191">
        <f t="shared" si="15"/>
        <v>2.317115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85</v>
      </c>
      <c r="C40" s="192">
        <v>95.0</v>
      </c>
      <c r="D40" s="192">
        <v>205.0</v>
      </c>
      <c r="E40" s="192">
        <v>211.0</v>
      </c>
      <c r="F40" s="192">
        <f t="shared" si="5"/>
        <v>0</v>
      </c>
      <c r="G40" s="192">
        <f t="shared" si="6"/>
        <v>84.2391125</v>
      </c>
      <c r="H40" s="193">
        <f t="shared" si="7"/>
        <v>84.2391125</v>
      </c>
      <c r="I40" s="192">
        <v>1.0</v>
      </c>
      <c r="J40" s="194">
        <f t="shared" si="8"/>
        <v>84.2391125</v>
      </c>
      <c r="K40" s="139"/>
      <c r="L40" s="177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7">
        <v>106.0</v>
      </c>
      <c r="R40" s="189">
        <v>20.5</v>
      </c>
      <c r="S40" s="177">
        <f t="shared" si="9"/>
        <v>2.11</v>
      </c>
      <c r="T40" s="160">
        <f t="shared" si="10"/>
        <v>1</v>
      </c>
      <c r="U40" s="160">
        <f t="shared" si="11"/>
        <v>2.11</v>
      </c>
      <c r="V40" s="190">
        <f t="shared" si="12"/>
        <v>84.2391125</v>
      </c>
      <c r="W40" s="177">
        <f t="shared" ref="W40:X40" si="28">C40/100</f>
        <v>0.95</v>
      </c>
      <c r="X40" s="177">
        <f t="shared" si="28"/>
        <v>2.05</v>
      </c>
      <c r="Y40" s="177">
        <f t="shared" si="14"/>
        <v>2.11</v>
      </c>
      <c r="Z40" s="191">
        <f t="shared" si="15"/>
        <v>4.109225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85</v>
      </c>
      <c r="C41" s="192">
        <v>95.0</v>
      </c>
      <c r="D41" s="192">
        <v>205.0</v>
      </c>
      <c r="E41" s="192">
        <v>207.0</v>
      </c>
      <c r="F41" s="192">
        <f t="shared" si="5"/>
        <v>0</v>
      </c>
      <c r="G41" s="192">
        <f t="shared" si="6"/>
        <v>82.6421625</v>
      </c>
      <c r="H41" s="193">
        <f t="shared" si="7"/>
        <v>82.6421625</v>
      </c>
      <c r="I41" s="192">
        <v>1.0</v>
      </c>
      <c r="J41" s="194">
        <f t="shared" si="8"/>
        <v>82.6421625</v>
      </c>
      <c r="K41" s="139"/>
      <c r="L41" s="177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7">
        <v>103.0</v>
      </c>
      <c r="R41" s="189">
        <v>20.5</v>
      </c>
      <c r="S41" s="177">
        <f t="shared" si="9"/>
        <v>2.07</v>
      </c>
      <c r="T41" s="160">
        <f t="shared" si="10"/>
        <v>1</v>
      </c>
      <c r="U41" s="160">
        <f t="shared" si="11"/>
        <v>2.07</v>
      </c>
      <c r="V41" s="190">
        <f t="shared" si="12"/>
        <v>82.6421625</v>
      </c>
      <c r="W41" s="177">
        <f t="shared" ref="W41:X41" si="29">C41/100</f>
        <v>0.95</v>
      </c>
      <c r="X41" s="177">
        <f t="shared" si="29"/>
        <v>2.05</v>
      </c>
      <c r="Y41" s="177">
        <f t="shared" si="14"/>
        <v>2.07</v>
      </c>
      <c r="Z41" s="191">
        <f t="shared" si="15"/>
        <v>4.031325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51.0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95"/>
      <c r="M42" s="196"/>
      <c r="N42" s="196"/>
      <c r="O42" s="139"/>
      <c r="P42" s="139"/>
      <c r="Q42" s="177"/>
      <c r="R42" s="141"/>
      <c r="S42" s="177">
        <f t="shared" si="9"/>
        <v>0</v>
      </c>
      <c r="T42" s="160" t="str">
        <f t="shared" si="10"/>
        <v/>
      </c>
      <c r="U42" s="160">
        <f t="shared" si="11"/>
        <v>0</v>
      </c>
      <c r="V42" s="190">
        <f t="shared" si="12"/>
        <v>0</v>
      </c>
      <c r="W42" s="177">
        <f t="shared" ref="W42:X42" si="30">C42/100</f>
        <v>0</v>
      </c>
      <c r="X42" s="177">
        <f t="shared" si="30"/>
        <v>0</v>
      </c>
      <c r="Y42" s="177">
        <f t="shared" si="14"/>
        <v>0</v>
      </c>
      <c r="Z42" s="19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52.0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5"/>
      <c r="M43" s="196"/>
      <c r="N43" s="196"/>
      <c r="O43" s="139"/>
      <c r="P43" s="139"/>
      <c r="Q43" s="177"/>
      <c r="R43" s="141"/>
      <c r="S43" s="177">
        <f t="shared" si="9"/>
        <v>0</v>
      </c>
      <c r="T43" s="160" t="str">
        <f t="shared" si="10"/>
        <v/>
      </c>
      <c r="U43" s="160">
        <f t="shared" si="11"/>
        <v>0</v>
      </c>
      <c r="V43" s="190">
        <f t="shared" si="12"/>
        <v>0</v>
      </c>
      <c r="W43" s="177">
        <f t="shared" ref="W43:X43" si="31">C43/100</f>
        <v>0</v>
      </c>
      <c r="X43" s="177">
        <f t="shared" si="31"/>
        <v>0</v>
      </c>
      <c r="Y43" s="177">
        <f t="shared" si="14"/>
        <v>0</v>
      </c>
      <c r="Z43" s="19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53.0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5"/>
      <c r="M44" s="196"/>
      <c r="N44" s="196"/>
      <c r="O44" s="139"/>
      <c r="P44" s="139"/>
      <c r="Q44" s="177"/>
      <c r="R44" s="141"/>
      <c r="S44" s="177">
        <f t="shared" si="9"/>
        <v>0</v>
      </c>
      <c r="T44" s="160" t="str">
        <f t="shared" si="10"/>
        <v/>
      </c>
      <c r="U44" s="160">
        <f t="shared" si="11"/>
        <v>0</v>
      </c>
      <c r="V44" s="190">
        <f t="shared" si="12"/>
        <v>0</v>
      </c>
      <c r="W44" s="177">
        <f t="shared" ref="W44:X44" si="32">C44/100</f>
        <v>0</v>
      </c>
      <c r="X44" s="177">
        <f t="shared" si="32"/>
        <v>0</v>
      </c>
      <c r="Y44" s="177">
        <f t="shared" si="14"/>
        <v>0</v>
      </c>
      <c r="Z44" s="19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54.0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5"/>
      <c r="M45" s="196"/>
      <c r="N45" s="196"/>
      <c r="O45" s="139"/>
      <c r="P45" s="139"/>
      <c r="Q45" s="177"/>
      <c r="R45" s="141"/>
      <c r="S45" s="177">
        <f t="shared" si="9"/>
        <v>0</v>
      </c>
      <c r="T45" s="160" t="str">
        <f t="shared" si="10"/>
        <v/>
      </c>
      <c r="U45" s="160">
        <f t="shared" si="11"/>
        <v>0</v>
      </c>
      <c r="V45" s="190">
        <f t="shared" si="12"/>
        <v>0</v>
      </c>
      <c r="W45" s="177">
        <f t="shared" ref="W45:X45" si="33">C45/100</f>
        <v>0</v>
      </c>
      <c r="X45" s="177">
        <f t="shared" si="33"/>
        <v>0</v>
      </c>
      <c r="Y45" s="177">
        <f t="shared" si="14"/>
        <v>0</v>
      </c>
      <c r="Z45" s="19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55.0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/>
      <c r="N46" s="196"/>
      <c r="O46" s="139"/>
      <c r="P46" s="139"/>
      <c r="Q46" s="177"/>
      <c r="R46" s="141"/>
      <c r="S46" s="177">
        <f t="shared" si="9"/>
        <v>0</v>
      </c>
      <c r="T46" s="160" t="str">
        <f t="shared" si="10"/>
        <v/>
      </c>
      <c r="U46" s="160">
        <f t="shared" si="11"/>
        <v>0</v>
      </c>
      <c r="V46" s="190">
        <f t="shared" si="12"/>
        <v>0</v>
      </c>
      <c r="W46" s="177">
        <f t="shared" ref="W46:X46" si="34">C46/100</f>
        <v>0</v>
      </c>
      <c r="X46" s="177">
        <f t="shared" si="34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56.0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57.0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58.0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59.0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60.0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77">
        <f t="shared" ref="L51:L52" si="40">D51*25.4/1000</f>
        <v>0</v>
      </c>
      <c r="M51" s="160" t="str">
        <f t="shared" ref="M51:M66" si="41">+I51</f>
        <v/>
      </c>
      <c r="N51" s="160">
        <f t="shared" ref="N51:N52" si="42">M51*L51</f>
        <v>0</v>
      </c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61.0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>
        <f t="shared" si="40"/>
        <v>0</v>
      </c>
      <c r="M52" s="196" t="str">
        <f t="shared" si="41"/>
        <v/>
      </c>
      <c r="N52" s="196">
        <f t="shared" si="42"/>
        <v>0</v>
      </c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3">C52/100</f>
        <v>0</v>
      </c>
      <c r="X52" s="177">
        <f t="shared" si="43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62.0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 t="str">
        <f t="shared" si="41"/>
        <v/>
      </c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4">C53/100</f>
        <v>0</v>
      </c>
      <c r="X53" s="177">
        <f t="shared" si="44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63.0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 t="str">
        <f t="shared" si="41"/>
        <v/>
      </c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5">C54/100</f>
        <v>0</v>
      </c>
      <c r="X54" s="177">
        <f t="shared" si="45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64.0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 t="str">
        <f t="shared" si="41"/>
        <v/>
      </c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6">C55/100</f>
        <v>0</v>
      </c>
      <c r="X55" s="177">
        <f t="shared" si="46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65.0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 t="str">
        <f t="shared" si="41"/>
        <v/>
      </c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7">C56/100</f>
        <v>0</v>
      </c>
      <c r="X56" s="177">
        <f t="shared" si="47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66.0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41"/>
        <v/>
      </c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67.0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1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68.0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1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69.0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1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70.0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1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71.0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1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72.0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1"/>
        <v/>
      </c>
      <c r="N63" s="196"/>
      <c r="O63" s="139"/>
      <c r="P63" s="139"/>
      <c r="Q63" s="177"/>
      <c r="R63" s="141"/>
      <c r="S63" s="197">
        <f t="shared" si="9"/>
        <v>0</v>
      </c>
      <c r="T63" s="198" t="str">
        <f t="shared" si="10"/>
        <v/>
      </c>
      <c r="U63" s="198">
        <f t="shared" si="11"/>
        <v>0</v>
      </c>
      <c r="V63" s="199">
        <f t="shared" si="12"/>
        <v>0</v>
      </c>
      <c r="W63" s="197">
        <f t="shared" ref="W63:X63" si="54">C63/100</f>
        <v>0</v>
      </c>
      <c r="X63" s="197">
        <f t="shared" si="54"/>
        <v>0</v>
      </c>
      <c r="Y63" s="197">
        <f t="shared" si="14"/>
        <v>0</v>
      </c>
      <c r="Z63" s="20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73.0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1"/>
        <v/>
      </c>
      <c r="N64" s="196"/>
      <c r="O64" s="139"/>
      <c r="P64" s="139"/>
      <c r="Q64" s="177"/>
      <c r="R64" s="141"/>
      <c r="S64" s="197">
        <f t="shared" si="9"/>
        <v>0</v>
      </c>
      <c r="T64" s="198" t="str">
        <f t="shared" si="10"/>
        <v/>
      </c>
      <c r="U64" s="198">
        <f t="shared" si="11"/>
        <v>0</v>
      </c>
      <c r="V64" s="199">
        <f t="shared" si="12"/>
        <v>0</v>
      </c>
      <c r="W64" s="197">
        <f t="shared" ref="W64:X64" si="55">C64/100</f>
        <v>0</v>
      </c>
      <c r="X64" s="197">
        <f t="shared" si="55"/>
        <v>0</v>
      </c>
      <c r="Y64" s="197">
        <f t="shared" si="14"/>
        <v>0</v>
      </c>
      <c r="Z64" s="20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74.0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1"/>
        <v/>
      </c>
      <c r="N65" s="196"/>
      <c r="O65" s="139"/>
      <c r="P65" s="139"/>
      <c r="Q65" s="177"/>
      <c r="R65" s="141"/>
      <c r="S65" s="197">
        <f t="shared" si="9"/>
        <v>0</v>
      </c>
      <c r="T65" s="198" t="str">
        <f t="shared" si="10"/>
        <v/>
      </c>
      <c r="U65" s="198">
        <f t="shared" si="11"/>
        <v>0</v>
      </c>
      <c r="V65" s="199">
        <f t="shared" si="12"/>
        <v>0</v>
      </c>
      <c r="W65" s="197">
        <f t="shared" ref="W65:X65" si="56">C65/100</f>
        <v>0</v>
      </c>
      <c r="X65" s="197">
        <f t="shared" si="56"/>
        <v>0</v>
      </c>
      <c r="Y65" s="197">
        <f t="shared" si="14"/>
        <v>0</v>
      </c>
      <c r="Z65" s="20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75.0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1"/>
        <v/>
      </c>
      <c r="N66" s="196"/>
      <c r="O66" s="139"/>
      <c r="P66" s="139"/>
      <c r="Q66" s="177"/>
      <c r="R66" s="141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199">
        <f t="shared" si="12"/>
        <v>0</v>
      </c>
      <c r="W66" s="197">
        <f t="shared" ref="W66:X66" si="57">C66/100</f>
        <v>0</v>
      </c>
      <c r="X66" s="197">
        <f t="shared" si="57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76.0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94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201"/>
      <c r="W67" s="197">
        <f t="shared" ref="W67:X67" si="58">C67/100</f>
        <v>0</v>
      </c>
      <c r="X67" s="197">
        <f t="shared" si="58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77.0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94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201"/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78.0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94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201"/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79.0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94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201"/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80.0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212.0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213.0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60"/>
      <c r="B209" s="177"/>
      <c r="C209" s="177"/>
      <c r="D209" s="177"/>
      <c r="E209" s="177"/>
      <c r="F209" s="177"/>
      <c r="G209" s="177"/>
      <c r="H209" s="180"/>
      <c r="I209" s="160"/>
      <c r="J209" s="202">
        <f>+Q268</f>
        <v>45.6</v>
      </c>
      <c r="K209" s="139"/>
      <c r="L209" s="139"/>
      <c r="M209" s="139"/>
      <c r="N209" s="139"/>
      <c r="O209" s="139"/>
      <c r="P209" s="139"/>
      <c r="Q209" s="139"/>
      <c r="R209" s="203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60"/>
      <c r="B210" s="204"/>
      <c r="C210" s="204"/>
      <c r="D210" s="204"/>
      <c r="E210" s="204"/>
      <c r="F210" s="204"/>
      <c r="G210" s="204"/>
      <c r="H210" s="205"/>
      <c r="I210" s="206">
        <f>SUM(I29:I208)</f>
        <v>13</v>
      </c>
      <c r="J210" s="207">
        <f>SUM(J29:J209)</f>
        <v>3541.854918</v>
      </c>
      <c r="K210" s="208"/>
      <c r="L210" s="208"/>
      <c r="M210" s="208"/>
      <c r="N210" s="208"/>
      <c r="O210" s="208"/>
      <c r="P210" s="208"/>
      <c r="Q210" s="208"/>
      <c r="R210" s="141"/>
      <c r="S210" s="208">
        <f>SUMIFS($T$29:$T$208,$S$29:$S$208,"&gt;=3")</f>
        <v>2</v>
      </c>
      <c r="T210" s="208">
        <f t="shared" ref="T210:U210" si="201">SUM(T29:T208)</f>
        <v>13</v>
      </c>
      <c r="U210" s="208">
        <f t="shared" si="201"/>
        <v>75.76</v>
      </c>
      <c r="V210" s="208"/>
      <c r="W210" s="208"/>
      <c r="X210" s="208"/>
      <c r="Y210" s="208"/>
      <c r="Z210" s="209">
        <f>SUM(Z29:Z209)</f>
        <v>145.600355</v>
      </c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  <c r="AO210" s="208"/>
      <c r="AP210" s="208"/>
      <c r="AQ210" s="208"/>
      <c r="AR210" s="208"/>
      <c r="AS210" s="208"/>
      <c r="AT210" s="208"/>
    </row>
    <row r="211" ht="29.2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201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9.2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203"/>
      <c r="S212" s="139"/>
      <c r="T212" s="139" t="s">
        <v>48</v>
      </c>
      <c r="U212" s="139" t="s">
        <v>59</v>
      </c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9.2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141"/>
      <c r="S213" s="139" t="s">
        <v>31</v>
      </c>
      <c r="T213" s="210">
        <f>SUMIFS($J$29:$J$208,$S$29:$S$208,"&gt;=3")</f>
        <v>2727.83343</v>
      </c>
      <c r="U213" s="211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9.25" customHeight="1">
      <c r="A214" s="139" t="s">
        <v>32</v>
      </c>
      <c r="B214" s="139"/>
      <c r="C214" s="139"/>
      <c r="D214" s="139" t="s">
        <v>33</v>
      </c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141"/>
      <c r="S214" s="139" t="s">
        <v>34</v>
      </c>
      <c r="T214" s="212">
        <f>J210-T213</f>
        <v>814.0214875</v>
      </c>
      <c r="U214" s="211">
        <f>+SUMIFS($U$29:$U$208,$S$29:$S$208,"&gt;=3")</f>
        <v>57.15</v>
      </c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03"/>
      <c r="S215" s="139"/>
      <c r="T215" s="213">
        <f>+I210</f>
        <v>13</v>
      </c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39.0" customHeight="1">
      <c r="A216" s="177"/>
      <c r="B216" s="160" t="s">
        <v>12</v>
      </c>
      <c r="C216" s="178" t="s">
        <v>60</v>
      </c>
      <c r="D216" s="52"/>
      <c r="E216" s="53"/>
      <c r="F216" s="179"/>
      <c r="G216" s="179"/>
      <c r="H216" s="180" t="s">
        <v>14</v>
      </c>
      <c r="I216" s="160" t="s">
        <v>15</v>
      </c>
      <c r="J216" s="160" t="s">
        <v>16</v>
      </c>
      <c r="K216" s="139"/>
      <c r="L216" s="139"/>
      <c r="M216" s="139"/>
      <c r="N216" s="139"/>
      <c r="O216" s="139"/>
      <c r="P216" s="139"/>
      <c r="Q216" s="139"/>
      <c r="R216" s="141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54">
        <v>1.0</v>
      </c>
      <c r="B217" s="214"/>
      <c r="C217" s="214"/>
      <c r="D217" s="214"/>
      <c r="E217" s="214"/>
      <c r="F217" s="214">
        <f t="shared" ref="F217:F230" si="202">1-VALUE(IF(RIGHT(B217, 1)="%", RIGHT(B217, 3), 0))</f>
        <v>1</v>
      </c>
      <c r="G217" s="214">
        <f t="shared" ref="G217:G230" si="203">+Q217*C217/100*D217/100*E217/100</f>
        <v>0</v>
      </c>
      <c r="H217" s="215">
        <f t="shared" ref="H217:H230" si="204">IF(F217=0, G217, F217*G217)</f>
        <v>0</v>
      </c>
      <c r="I217" s="214"/>
      <c r="J217" s="216"/>
      <c r="K217" s="139"/>
      <c r="L217" s="177">
        <f t="shared" ref="L217:L225" si="205">D217*25.4/1000</f>
        <v>0</v>
      </c>
      <c r="M217" s="160" t="str">
        <f t="shared" ref="M217:M221" si="206">+I217</f>
        <v/>
      </c>
      <c r="N217" s="160">
        <f t="shared" ref="N217:N221" si="207">M217*L217</f>
        <v>0</v>
      </c>
      <c r="O217" s="139"/>
      <c r="P217" s="139"/>
      <c r="Q217" s="139"/>
      <c r="R217" s="141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54">
        <v>2.0</v>
      </c>
      <c r="B218" s="214"/>
      <c r="C218" s="214"/>
      <c r="D218" s="214"/>
      <c r="E218" s="214"/>
      <c r="F218" s="214">
        <f t="shared" si="202"/>
        <v>1</v>
      </c>
      <c r="G218" s="214">
        <f t="shared" si="203"/>
        <v>0</v>
      </c>
      <c r="H218" s="215">
        <f t="shared" si="204"/>
        <v>0</v>
      </c>
      <c r="I218" s="214"/>
      <c r="J218" s="216">
        <f t="shared" ref="J218:J230" si="208">+I218*H218</f>
        <v>0</v>
      </c>
      <c r="K218" s="139"/>
      <c r="L218" s="177">
        <f t="shared" si="205"/>
        <v>0</v>
      </c>
      <c r="M218" s="160" t="str">
        <f t="shared" si="206"/>
        <v/>
      </c>
      <c r="N218" s="160">
        <f t="shared" si="207"/>
        <v>0</v>
      </c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54">
        <v>3.0</v>
      </c>
      <c r="B219" s="217"/>
      <c r="C219" s="217"/>
      <c r="D219" s="217"/>
      <c r="E219" s="217"/>
      <c r="F219" s="217">
        <f t="shared" si="202"/>
        <v>1</v>
      </c>
      <c r="G219" s="217">
        <f t="shared" si="203"/>
        <v>0</v>
      </c>
      <c r="H219" s="218">
        <f t="shared" si="204"/>
        <v>0</v>
      </c>
      <c r="I219" s="217"/>
      <c r="J219" s="194">
        <f t="shared" si="208"/>
        <v>0</v>
      </c>
      <c r="K219" s="139"/>
      <c r="L219" s="177">
        <f t="shared" si="205"/>
        <v>0</v>
      </c>
      <c r="M219" s="160" t="str">
        <f t="shared" si="206"/>
        <v/>
      </c>
      <c r="N219" s="160">
        <f t="shared" si="207"/>
        <v>0</v>
      </c>
      <c r="O219" s="139"/>
      <c r="P219" s="139"/>
      <c r="Q219" s="139"/>
      <c r="R219" s="139"/>
      <c r="S219" s="21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54">
        <v>4.0</v>
      </c>
      <c r="B220" s="217"/>
      <c r="C220" s="217"/>
      <c r="D220" s="217"/>
      <c r="E220" s="217"/>
      <c r="F220" s="217">
        <f t="shared" si="202"/>
        <v>1</v>
      </c>
      <c r="G220" s="217">
        <f t="shared" si="203"/>
        <v>0</v>
      </c>
      <c r="H220" s="218">
        <f t="shared" si="204"/>
        <v>0</v>
      </c>
      <c r="I220" s="217"/>
      <c r="J220" s="194">
        <f t="shared" si="208"/>
        <v>0</v>
      </c>
      <c r="K220" s="139"/>
      <c r="L220" s="177">
        <f t="shared" si="205"/>
        <v>0</v>
      </c>
      <c r="M220" s="160" t="str">
        <f t="shared" si="206"/>
        <v/>
      </c>
      <c r="N220" s="160">
        <f t="shared" si="207"/>
        <v>0</v>
      </c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4">
        <v>5.0</v>
      </c>
      <c r="B221" s="217"/>
      <c r="C221" s="217"/>
      <c r="D221" s="217"/>
      <c r="E221" s="217"/>
      <c r="F221" s="217">
        <f t="shared" si="202"/>
        <v>1</v>
      </c>
      <c r="G221" s="217">
        <f t="shared" si="203"/>
        <v>0</v>
      </c>
      <c r="H221" s="218">
        <f t="shared" si="204"/>
        <v>0</v>
      </c>
      <c r="I221" s="217"/>
      <c r="J221" s="194">
        <f t="shared" si="208"/>
        <v>0</v>
      </c>
      <c r="K221" s="139"/>
      <c r="L221" s="177">
        <f t="shared" si="205"/>
        <v>0</v>
      </c>
      <c r="M221" s="160" t="str">
        <f t="shared" si="206"/>
        <v/>
      </c>
      <c r="N221" s="160">
        <f t="shared" si="207"/>
        <v>0</v>
      </c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54">
        <v>6.0</v>
      </c>
      <c r="B222" s="217"/>
      <c r="C222" s="217"/>
      <c r="D222" s="217"/>
      <c r="E222" s="217"/>
      <c r="F222" s="217">
        <f t="shared" si="202"/>
        <v>1</v>
      </c>
      <c r="G222" s="217">
        <f t="shared" si="203"/>
        <v>0</v>
      </c>
      <c r="H222" s="218">
        <f t="shared" si="204"/>
        <v>0</v>
      </c>
      <c r="I222" s="217"/>
      <c r="J222" s="194">
        <f t="shared" si="208"/>
        <v>0</v>
      </c>
      <c r="K222" s="139"/>
      <c r="L222" s="139">
        <f t="shared" si="205"/>
        <v>0</v>
      </c>
      <c r="M222" s="220"/>
      <c r="N222" s="220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54">
        <v>7.0</v>
      </c>
      <c r="B223" s="217"/>
      <c r="C223" s="217"/>
      <c r="D223" s="217"/>
      <c r="E223" s="217"/>
      <c r="F223" s="217">
        <f t="shared" si="202"/>
        <v>1</v>
      </c>
      <c r="G223" s="217">
        <f t="shared" si="203"/>
        <v>0</v>
      </c>
      <c r="H223" s="218">
        <f t="shared" si="204"/>
        <v>0</v>
      </c>
      <c r="I223" s="217"/>
      <c r="J223" s="194">
        <f t="shared" si="208"/>
        <v>0</v>
      </c>
      <c r="K223" s="139"/>
      <c r="L223" s="139">
        <f t="shared" si="205"/>
        <v>0</v>
      </c>
      <c r="M223" s="220"/>
      <c r="N223" s="220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54">
        <v>8.0</v>
      </c>
      <c r="B224" s="217"/>
      <c r="C224" s="217"/>
      <c r="D224" s="217"/>
      <c r="E224" s="217"/>
      <c r="F224" s="217">
        <f t="shared" si="202"/>
        <v>1</v>
      </c>
      <c r="G224" s="217">
        <f t="shared" si="203"/>
        <v>0</v>
      </c>
      <c r="H224" s="218">
        <f t="shared" si="204"/>
        <v>0</v>
      </c>
      <c r="I224" s="217"/>
      <c r="J224" s="194">
        <f t="shared" si="208"/>
        <v>0</v>
      </c>
      <c r="K224" s="139"/>
      <c r="L224" s="139">
        <f t="shared" si="205"/>
        <v>0</v>
      </c>
      <c r="M224" s="220"/>
      <c r="N224" s="220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54">
        <v>9.0</v>
      </c>
      <c r="B225" s="217"/>
      <c r="C225" s="217"/>
      <c r="D225" s="217"/>
      <c r="E225" s="217"/>
      <c r="F225" s="217">
        <f t="shared" si="202"/>
        <v>1</v>
      </c>
      <c r="G225" s="217">
        <f t="shared" si="203"/>
        <v>0</v>
      </c>
      <c r="H225" s="218">
        <f t="shared" si="204"/>
        <v>0</v>
      </c>
      <c r="I225" s="217"/>
      <c r="J225" s="194">
        <f t="shared" si="208"/>
        <v>0</v>
      </c>
      <c r="K225" s="139"/>
      <c r="L225" s="139">
        <f t="shared" si="205"/>
        <v>0</v>
      </c>
      <c r="M225" s="220"/>
      <c r="N225" s="220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10.0</v>
      </c>
      <c r="B226" s="192"/>
      <c r="C226" s="192"/>
      <c r="D226" s="192"/>
      <c r="E226" s="192"/>
      <c r="F226" s="192">
        <f t="shared" si="202"/>
        <v>1</v>
      </c>
      <c r="G226" s="192">
        <f t="shared" si="203"/>
        <v>0</v>
      </c>
      <c r="H226" s="193">
        <f t="shared" si="204"/>
        <v>0</v>
      </c>
      <c r="I226" s="192"/>
      <c r="J226" s="194">
        <f t="shared" si="208"/>
        <v>0</v>
      </c>
      <c r="K226" s="139"/>
      <c r="L226" s="139"/>
      <c r="M226" s="220"/>
      <c r="N226" s="22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11.0</v>
      </c>
      <c r="B227" s="192"/>
      <c r="C227" s="192"/>
      <c r="D227" s="192"/>
      <c r="E227" s="192"/>
      <c r="F227" s="192">
        <f t="shared" si="202"/>
        <v>1</v>
      </c>
      <c r="G227" s="192">
        <f t="shared" si="203"/>
        <v>0</v>
      </c>
      <c r="H227" s="193">
        <f t="shared" si="204"/>
        <v>0</v>
      </c>
      <c r="I227" s="192"/>
      <c r="J227" s="194">
        <f t="shared" si="208"/>
        <v>0</v>
      </c>
      <c r="K227" s="139"/>
      <c r="L227" s="139"/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12.0</v>
      </c>
      <c r="B228" s="192"/>
      <c r="C228" s="192"/>
      <c r="D228" s="192"/>
      <c r="E228" s="192"/>
      <c r="F228" s="192">
        <f t="shared" si="202"/>
        <v>1</v>
      </c>
      <c r="G228" s="192">
        <f t="shared" si="203"/>
        <v>0</v>
      </c>
      <c r="H228" s="193">
        <f t="shared" si="204"/>
        <v>0</v>
      </c>
      <c r="I228" s="192"/>
      <c r="J228" s="194">
        <f t="shared" si="208"/>
        <v>0</v>
      </c>
      <c r="K228" s="139"/>
      <c r="L228" s="139"/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13.0</v>
      </c>
      <c r="B229" s="192"/>
      <c r="C229" s="192"/>
      <c r="D229" s="192"/>
      <c r="E229" s="192"/>
      <c r="F229" s="192">
        <f t="shared" si="202"/>
        <v>1</v>
      </c>
      <c r="G229" s="192">
        <f t="shared" si="203"/>
        <v>0</v>
      </c>
      <c r="H229" s="193">
        <f t="shared" si="204"/>
        <v>0</v>
      </c>
      <c r="I229" s="192"/>
      <c r="J229" s="194">
        <f t="shared" si="208"/>
        <v>0</v>
      </c>
      <c r="K229" s="139"/>
      <c r="L229" s="139"/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14.0</v>
      </c>
      <c r="B230" s="192"/>
      <c r="C230" s="192"/>
      <c r="D230" s="192"/>
      <c r="E230" s="192"/>
      <c r="F230" s="192">
        <f t="shared" si="202"/>
        <v>1</v>
      </c>
      <c r="G230" s="192">
        <f t="shared" si="203"/>
        <v>0</v>
      </c>
      <c r="H230" s="193">
        <f t="shared" si="204"/>
        <v>0</v>
      </c>
      <c r="I230" s="192"/>
      <c r="J230" s="194">
        <f t="shared" si="208"/>
        <v>0</v>
      </c>
      <c r="K230" s="139"/>
      <c r="L230" s="139"/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0"/>
      <c r="B231" s="195"/>
      <c r="C231" s="195"/>
      <c r="D231" s="195"/>
      <c r="E231" s="195"/>
      <c r="F231" s="195"/>
      <c r="G231" s="195"/>
      <c r="H231" s="221" t="s">
        <v>38</v>
      </c>
      <c r="I231" s="195"/>
      <c r="J231" s="222">
        <f>SUM(J217:J230)</f>
        <v>0</v>
      </c>
      <c r="K231" s="139"/>
      <c r="L231" s="139"/>
      <c r="M231" s="139"/>
      <c r="N231" s="139"/>
      <c r="O231" s="139"/>
      <c r="P231" s="139"/>
      <c r="Q231" s="139"/>
      <c r="R231" s="141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74"/>
      <c r="B232" s="144"/>
      <c r="C232" s="144"/>
      <c r="D232" s="144"/>
      <c r="E232" s="144"/>
      <c r="F232" s="144"/>
      <c r="G232" s="144"/>
      <c r="H232" s="145"/>
      <c r="I232" s="144"/>
      <c r="J232" s="175"/>
      <c r="K232" s="139"/>
      <c r="L232" s="139"/>
      <c r="M232" s="139"/>
      <c r="N232" s="139"/>
      <c r="O232" s="139"/>
      <c r="P232" s="139"/>
      <c r="Q232" s="139"/>
      <c r="R232" s="141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223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139" t="s">
        <v>39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223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23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42.0" customHeight="1">
      <c r="A237" s="177"/>
      <c r="B237" s="160" t="s">
        <v>12</v>
      </c>
      <c r="C237" s="178" t="s">
        <v>61</v>
      </c>
      <c r="D237" s="52"/>
      <c r="E237" s="53"/>
      <c r="F237" s="224"/>
      <c r="G237" s="224"/>
      <c r="H237" s="180" t="s">
        <v>14</v>
      </c>
      <c r="I237" s="225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223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0">
        <v>1.0</v>
      </c>
      <c r="B238" s="182" t="s">
        <v>98</v>
      </c>
      <c r="C238" s="198"/>
      <c r="D238" s="198"/>
      <c r="E238" s="198"/>
      <c r="F238" s="198"/>
      <c r="G238" s="198"/>
      <c r="H238" s="226">
        <v>39.0</v>
      </c>
      <c r="I238" s="198">
        <v>1.0</v>
      </c>
      <c r="J238" s="194">
        <f t="shared" ref="J238:J266" si="209">+I238*H238</f>
        <v>39</v>
      </c>
      <c r="K238" s="177"/>
      <c r="L238" s="177"/>
      <c r="M238" s="177"/>
      <c r="N238" s="177"/>
      <c r="O238" s="177"/>
      <c r="P238" s="177"/>
      <c r="Q238" s="227"/>
      <c r="R238" s="223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0">
        <v>2.0</v>
      </c>
      <c r="B239" s="192" t="s">
        <v>98</v>
      </c>
      <c r="C239" s="198"/>
      <c r="D239" s="198"/>
      <c r="E239" s="198"/>
      <c r="F239" s="198"/>
      <c r="G239" s="198"/>
      <c r="H239" s="226">
        <v>27.0</v>
      </c>
      <c r="I239" s="198">
        <v>1.0</v>
      </c>
      <c r="J239" s="194">
        <f t="shared" si="209"/>
        <v>27</v>
      </c>
      <c r="K239" s="177"/>
      <c r="L239" s="177"/>
      <c r="M239" s="177"/>
      <c r="N239" s="177"/>
      <c r="O239" s="177"/>
      <c r="P239" s="177"/>
      <c r="Q239" s="227"/>
      <c r="R239" s="223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0">
        <v>3.0</v>
      </c>
      <c r="B240" s="182" t="s">
        <v>85</v>
      </c>
      <c r="C240" s="198"/>
      <c r="D240" s="198"/>
      <c r="E240" s="198"/>
      <c r="F240" s="198"/>
      <c r="G240" s="198"/>
      <c r="H240" s="226">
        <v>31.0</v>
      </c>
      <c r="I240" s="198">
        <v>1.0</v>
      </c>
      <c r="J240" s="194">
        <f t="shared" si="209"/>
        <v>31</v>
      </c>
      <c r="K240" s="177"/>
      <c r="L240" s="177"/>
      <c r="M240" s="177"/>
      <c r="N240" s="177"/>
      <c r="O240" s="177"/>
      <c r="P240" s="177"/>
      <c r="Q240" s="227"/>
      <c r="R240" s="223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customHeight="1">
      <c r="A241" s="160">
        <v>4.0</v>
      </c>
      <c r="B241" s="192" t="s">
        <v>85</v>
      </c>
      <c r="C241" s="198"/>
      <c r="D241" s="198"/>
      <c r="E241" s="198"/>
      <c r="F241" s="198"/>
      <c r="G241" s="198"/>
      <c r="H241" s="226">
        <v>17.0</v>
      </c>
      <c r="I241" s="198">
        <v>1.0</v>
      </c>
      <c r="J241" s="194">
        <f t="shared" si="209"/>
        <v>17</v>
      </c>
      <c r="K241" s="177"/>
      <c r="L241" s="177"/>
      <c r="M241" s="177"/>
      <c r="N241" s="177"/>
      <c r="O241" s="177"/>
      <c r="P241" s="177"/>
      <c r="Q241" s="227"/>
      <c r="R241" s="223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11.0</v>
      </c>
      <c r="B242" s="228"/>
      <c r="C242" s="198"/>
      <c r="D242" s="198"/>
      <c r="E242" s="198"/>
      <c r="F242" s="198"/>
      <c r="G242" s="198"/>
      <c r="H242" s="226"/>
      <c r="I242" s="198"/>
      <c r="J242" s="194">
        <f t="shared" si="209"/>
        <v>0</v>
      </c>
      <c r="K242" s="177"/>
      <c r="L242" s="177"/>
      <c r="M242" s="177"/>
      <c r="N242" s="177"/>
      <c r="O242" s="177"/>
      <c r="P242" s="177"/>
      <c r="Q242" s="227"/>
      <c r="R242" s="223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12.0</v>
      </c>
      <c r="B243" s="228"/>
      <c r="C243" s="198"/>
      <c r="D243" s="198"/>
      <c r="E243" s="198"/>
      <c r="F243" s="198"/>
      <c r="G243" s="198"/>
      <c r="H243" s="226"/>
      <c r="I243" s="198"/>
      <c r="J243" s="194">
        <f t="shared" si="209"/>
        <v>0</v>
      </c>
      <c r="K243" s="177"/>
      <c r="L243" s="177"/>
      <c r="M243" s="177"/>
      <c r="N243" s="177"/>
      <c r="O243" s="177"/>
      <c r="P243" s="177"/>
      <c r="Q243" s="227"/>
      <c r="R243" s="223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13.0</v>
      </c>
      <c r="B244" s="228"/>
      <c r="C244" s="198"/>
      <c r="D244" s="198"/>
      <c r="E244" s="198"/>
      <c r="F244" s="198"/>
      <c r="G244" s="198"/>
      <c r="H244" s="226"/>
      <c r="I244" s="198"/>
      <c r="J244" s="194">
        <f t="shared" si="209"/>
        <v>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14.0</v>
      </c>
      <c r="B245" s="228"/>
      <c r="C245" s="198"/>
      <c r="D245" s="198"/>
      <c r="E245" s="198"/>
      <c r="F245" s="198"/>
      <c r="G245" s="198"/>
      <c r="H245" s="226"/>
      <c r="I245" s="198"/>
      <c r="J245" s="194">
        <f t="shared" si="209"/>
        <v>0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15.0</v>
      </c>
      <c r="B246" s="228"/>
      <c r="C246" s="198"/>
      <c r="D246" s="198"/>
      <c r="E246" s="198"/>
      <c r="F246" s="198"/>
      <c r="G246" s="198"/>
      <c r="H246" s="226"/>
      <c r="I246" s="198"/>
      <c r="J246" s="194">
        <f t="shared" si="209"/>
        <v>0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16.0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09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17.0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09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18.0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09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19.0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09"/>
        <v>0</v>
      </c>
      <c r="K250" s="177"/>
      <c r="L250" s="177"/>
      <c r="M250" s="177"/>
      <c r="N250" s="177"/>
      <c r="O250" s="177"/>
      <c r="P250" s="177"/>
      <c r="Q250" s="227"/>
      <c r="R250" s="140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20.0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09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21.0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09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22.0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09"/>
        <v>0</v>
      </c>
      <c r="K253" s="177"/>
      <c r="L253" s="177"/>
      <c r="M253" s="177"/>
      <c r="N253" s="177"/>
      <c r="O253" s="177"/>
      <c r="P253" s="177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23.0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09"/>
        <v>0</v>
      </c>
      <c r="K254" s="177"/>
      <c r="L254" s="177"/>
      <c r="M254" s="177"/>
      <c r="N254" s="177"/>
      <c r="O254" s="177"/>
      <c r="P254" s="177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24.0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09"/>
        <v>0</v>
      </c>
      <c r="K255" s="177"/>
      <c r="L255" s="177"/>
      <c r="M255" s="177"/>
      <c r="N255" s="177"/>
      <c r="O255" s="177"/>
      <c r="P255" s="177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25.0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09"/>
        <v>0</v>
      </c>
      <c r="K256" s="177"/>
      <c r="L256" s="177"/>
      <c r="M256" s="177"/>
      <c r="N256" s="177"/>
      <c r="O256" s="177"/>
      <c r="P256" s="177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26.0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09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27.0</v>
      </c>
      <c r="B258" s="228"/>
      <c r="C258" s="198"/>
      <c r="D258" s="198"/>
      <c r="E258" s="198"/>
      <c r="F258" s="198"/>
      <c r="G258" s="198"/>
      <c r="H258" s="198"/>
      <c r="I258" s="198"/>
      <c r="J258" s="194">
        <f t="shared" si="209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28.0</v>
      </c>
      <c r="B259" s="228"/>
      <c r="C259" s="198"/>
      <c r="D259" s="198"/>
      <c r="E259" s="198"/>
      <c r="F259" s="198"/>
      <c r="G259" s="198"/>
      <c r="H259" s="198"/>
      <c r="I259" s="198"/>
      <c r="J259" s="194">
        <f t="shared" si="209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29.0</v>
      </c>
      <c r="B260" s="229"/>
      <c r="C260" s="198"/>
      <c r="D260" s="198"/>
      <c r="E260" s="198"/>
      <c r="F260" s="198"/>
      <c r="G260" s="198"/>
      <c r="H260" s="198"/>
      <c r="I260" s="198"/>
      <c r="J260" s="194">
        <f t="shared" si="209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30.0</v>
      </c>
      <c r="B261" s="229"/>
      <c r="C261" s="198"/>
      <c r="D261" s="198"/>
      <c r="E261" s="198"/>
      <c r="F261" s="198"/>
      <c r="G261" s="198"/>
      <c r="H261" s="226"/>
      <c r="I261" s="198"/>
      <c r="J261" s="194">
        <f t="shared" si="209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31.0</v>
      </c>
      <c r="B262" s="217"/>
      <c r="C262" s="198"/>
      <c r="D262" s="198"/>
      <c r="E262" s="198"/>
      <c r="F262" s="198"/>
      <c r="G262" s="198"/>
      <c r="H262" s="226"/>
      <c r="I262" s="198"/>
      <c r="J262" s="194">
        <f t="shared" si="209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32.0</v>
      </c>
      <c r="B263" s="217"/>
      <c r="C263" s="160"/>
      <c r="D263" s="160"/>
      <c r="E263" s="160"/>
      <c r="F263" s="160"/>
      <c r="G263" s="160"/>
      <c r="H263" s="160"/>
      <c r="I263" s="160"/>
      <c r="J263" s="194">
        <f t="shared" si="209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33.0</v>
      </c>
      <c r="B264" s="229"/>
      <c r="C264" s="160"/>
      <c r="D264" s="160"/>
      <c r="E264" s="160"/>
      <c r="F264" s="160"/>
      <c r="G264" s="160"/>
      <c r="H264" s="160"/>
      <c r="I264" s="160"/>
      <c r="J264" s="194">
        <f t="shared" si="209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34.0</v>
      </c>
      <c r="B265" s="230"/>
      <c r="C265" s="160"/>
      <c r="D265" s="160"/>
      <c r="E265" s="160"/>
      <c r="F265" s="160"/>
      <c r="G265" s="160"/>
      <c r="H265" s="160"/>
      <c r="I265" s="160"/>
      <c r="J265" s="194">
        <f t="shared" si="209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35.0</v>
      </c>
      <c r="B266" s="231"/>
      <c r="C266" s="160"/>
      <c r="D266" s="160"/>
      <c r="E266" s="160"/>
      <c r="F266" s="160"/>
      <c r="G266" s="160"/>
      <c r="H266" s="160"/>
      <c r="I266" s="160"/>
      <c r="J266" s="194">
        <f t="shared" si="209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 t="s">
        <v>38</v>
      </c>
      <c r="I267" s="139"/>
      <c r="J267" s="232">
        <f>SUM(J238:J266)</f>
        <v>114</v>
      </c>
      <c r="K267" s="233"/>
      <c r="L267" s="233"/>
      <c r="M267" s="233"/>
      <c r="N267" s="233"/>
      <c r="O267" s="233"/>
      <c r="P267" s="233"/>
      <c r="Q267" s="233"/>
      <c r="R267" s="139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44"/>
      <c r="B268" s="144"/>
      <c r="C268" s="144"/>
      <c r="D268" s="144"/>
      <c r="E268" s="144"/>
      <c r="F268" s="144"/>
      <c r="G268" s="144"/>
      <c r="H268" s="145"/>
      <c r="I268" s="173"/>
      <c r="J268" s="204">
        <f>+J267*60%</f>
        <v>68.4</v>
      </c>
      <c r="K268" s="204"/>
      <c r="L268" s="204"/>
      <c r="M268" s="204"/>
      <c r="N268" s="204"/>
      <c r="O268" s="204"/>
      <c r="P268" s="204"/>
      <c r="Q268" s="204">
        <f>+J267*40%</f>
        <v>45.6</v>
      </c>
      <c r="R268" s="139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9.5" customHeight="1">
      <c r="A271" s="234" t="s">
        <v>41</v>
      </c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57.0" customHeight="1">
      <c r="A272" s="235"/>
      <c r="B272" s="236" t="s">
        <v>42</v>
      </c>
      <c r="C272" s="236" t="s">
        <v>43</v>
      </c>
      <c r="D272" s="236" t="s">
        <v>44</v>
      </c>
      <c r="E272" s="236" t="s">
        <v>45</v>
      </c>
      <c r="F272" s="236"/>
      <c r="G272" s="236"/>
      <c r="H272" s="237" t="s">
        <v>46</v>
      </c>
      <c r="I272" s="238" t="s">
        <v>47</v>
      </c>
      <c r="J272" s="139"/>
      <c r="K272" s="139"/>
      <c r="L272" s="139"/>
      <c r="M272" s="139"/>
      <c r="N272" s="139"/>
      <c r="O272" s="139"/>
      <c r="P272" s="139"/>
      <c r="Q272" s="139"/>
      <c r="R272" s="141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239" t="s">
        <v>48</v>
      </c>
      <c r="B273" s="240">
        <f>+E22</f>
        <v>4056.858</v>
      </c>
      <c r="C273" s="241">
        <f>+J210</f>
        <v>3541.854918</v>
      </c>
      <c r="D273" s="241">
        <f>+J231</f>
        <v>0</v>
      </c>
      <c r="E273" s="242">
        <f>J268</f>
        <v>68.4</v>
      </c>
      <c r="F273" s="242"/>
      <c r="G273" s="242"/>
      <c r="H273" s="243">
        <f>+I22</f>
        <v>234.1526054</v>
      </c>
      <c r="I273" s="244">
        <f>+B273-C273-D273-E273-H273</f>
        <v>212.4504771</v>
      </c>
      <c r="J273" s="139"/>
      <c r="K273" s="139"/>
      <c r="L273" s="139"/>
      <c r="M273" s="139"/>
      <c r="N273" s="139"/>
      <c r="O273" s="139"/>
      <c r="P273" s="139"/>
      <c r="Q273" s="139"/>
      <c r="R273" s="141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9.5" customHeight="1">
      <c r="A274" s="245" t="s">
        <v>49</v>
      </c>
      <c r="B274" s="246"/>
      <c r="C274" s="247">
        <f>+C273/B273</f>
        <v>0.8730537075</v>
      </c>
      <c r="D274" s="247">
        <f>+D273/B273</f>
        <v>0</v>
      </c>
      <c r="E274" s="247">
        <f>+E273/B273</f>
        <v>0.01686033872</v>
      </c>
      <c r="F274" s="247"/>
      <c r="G274" s="247"/>
      <c r="H274" s="248">
        <f>+H273/B273</f>
        <v>0.05771772278</v>
      </c>
      <c r="I274" s="249">
        <f>+I273/B273</f>
        <v>0.05236823105</v>
      </c>
      <c r="J274" s="139"/>
      <c r="K274" s="139"/>
      <c r="L274" s="139"/>
      <c r="M274" s="139"/>
      <c r="N274" s="139"/>
      <c r="O274" s="139"/>
      <c r="P274" s="139"/>
      <c r="Q274" s="139"/>
      <c r="R274" s="141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163"/>
      <c r="B275" s="220"/>
      <c r="C275" s="250"/>
      <c r="D275" s="250"/>
      <c r="E275" s="250"/>
      <c r="F275" s="250"/>
      <c r="G275" s="250"/>
      <c r="H275" s="251"/>
      <c r="I275" s="252"/>
      <c r="J275" s="139"/>
      <c r="K275" s="139"/>
      <c r="L275" s="139"/>
      <c r="M275" s="139"/>
      <c r="N275" s="139"/>
      <c r="O275" s="139"/>
      <c r="P275" s="139"/>
      <c r="Q275" s="139"/>
      <c r="R275" s="141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253"/>
      <c r="B276" s="254"/>
      <c r="C276" s="254"/>
      <c r="D276" s="254" t="s">
        <v>50</v>
      </c>
      <c r="E276" s="254" t="s">
        <v>48</v>
      </c>
      <c r="F276" s="254"/>
      <c r="G276" s="254"/>
      <c r="H276" s="255">
        <f>+D273+E273+H273+I273</f>
        <v>515.0030825</v>
      </c>
      <c r="I276" s="256"/>
      <c r="J276" s="139"/>
      <c r="K276" s="139"/>
      <c r="L276" s="139"/>
      <c r="M276" s="139"/>
      <c r="N276" s="139"/>
      <c r="O276" s="139"/>
      <c r="P276" s="139"/>
      <c r="Q276" s="139"/>
      <c r="R276" s="141"/>
      <c r="S276" s="140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57"/>
      <c r="B277" s="139"/>
      <c r="C277" s="139"/>
      <c r="D277" s="139"/>
      <c r="E277" s="139" t="s">
        <v>49</v>
      </c>
      <c r="F277" s="139"/>
      <c r="G277" s="139"/>
      <c r="H277" s="251">
        <f>+H276/B273</f>
        <v>0.1269462925</v>
      </c>
      <c r="I277" s="258"/>
      <c r="J277" s="139"/>
      <c r="K277" s="139"/>
      <c r="L277" s="139"/>
      <c r="M277" s="139"/>
      <c r="N277" s="139"/>
      <c r="O277" s="139"/>
      <c r="P277" s="139"/>
      <c r="Q277" s="139"/>
      <c r="R277" s="141"/>
      <c r="S277" s="140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57"/>
      <c r="B278" s="139"/>
      <c r="C278" s="139" t="s">
        <v>51</v>
      </c>
      <c r="D278" s="139"/>
      <c r="E278" s="139"/>
      <c r="F278" s="139"/>
      <c r="G278" s="139"/>
      <c r="H278" s="140"/>
      <c r="I278" s="258"/>
      <c r="J278" s="139"/>
      <c r="K278" s="139"/>
      <c r="L278" s="139"/>
      <c r="M278" s="139"/>
      <c r="N278" s="139"/>
      <c r="O278" s="139"/>
      <c r="P278" s="139"/>
      <c r="Q278" s="139"/>
      <c r="R278" s="141"/>
      <c r="S278" s="140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57"/>
      <c r="B279" s="139"/>
      <c r="C279" s="139"/>
      <c r="D279" s="139" t="s">
        <v>52</v>
      </c>
      <c r="E279" s="139"/>
      <c r="F279" s="139"/>
      <c r="G279" s="139"/>
      <c r="H279" s="140">
        <f>+H278*(H276-H273)</f>
        <v>0</v>
      </c>
      <c r="I279" s="258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59"/>
      <c r="B280" s="260"/>
      <c r="C280" s="260"/>
      <c r="D280" s="260"/>
      <c r="E280" s="260"/>
      <c r="F280" s="260"/>
      <c r="G280" s="260"/>
      <c r="H280" s="261"/>
      <c r="I280" s="262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41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41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16:E216"/>
    <mergeCell ref="C237:E23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63</v>
      </c>
      <c r="C8" s="154">
        <v>25.5</v>
      </c>
      <c r="D8" s="155">
        <v>0.0577</v>
      </c>
      <c r="E8" s="156">
        <f>262.54*27.3</f>
        <v>7167.342</v>
      </c>
      <c r="F8" s="156"/>
      <c r="G8" s="156"/>
      <c r="H8" s="157">
        <v>27.3</v>
      </c>
      <c r="I8" s="158">
        <f t="shared" ref="I8:I24" si="1">+D8*E8</f>
        <v>413.5556334</v>
      </c>
      <c r="J8" s="159">
        <f t="shared" ref="J8:J24" si="2">E8-I8</f>
        <v>6753.786367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221.79*103.7</f>
        <v>22999.623</v>
      </c>
      <c r="F9" s="156"/>
      <c r="G9" s="156"/>
      <c r="H9" s="157">
        <v>103.7</v>
      </c>
      <c r="I9" s="158">
        <f t="shared" si="1"/>
        <v>1851.469652</v>
      </c>
      <c r="J9" s="159">
        <f t="shared" si="2"/>
        <v>21148.15335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108</v>
      </c>
      <c r="C10" s="154">
        <v>35.5</v>
      </c>
      <c r="D10" s="155"/>
      <c r="E10" s="156">
        <f>245.72*17.6</f>
        <v>4324.672</v>
      </c>
      <c r="F10" s="156"/>
      <c r="G10" s="156"/>
      <c r="H10" s="157">
        <v>17.6</v>
      </c>
      <c r="I10" s="158">
        <f t="shared" si="1"/>
        <v>0</v>
      </c>
      <c r="J10" s="159">
        <f t="shared" si="2"/>
        <v>4324.672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109</v>
      </c>
      <c r="C11" s="154">
        <v>18.5</v>
      </c>
      <c r="D11" s="161">
        <v>0.1072</v>
      </c>
      <c r="E11" s="162">
        <f>206.19*1</f>
        <v>206.19</v>
      </c>
      <c r="F11" s="162"/>
      <c r="G11" s="162"/>
      <c r="H11" s="157">
        <v>1.0</v>
      </c>
      <c r="I11" s="158">
        <f t="shared" si="1"/>
        <v>22.103568</v>
      </c>
      <c r="J11" s="159">
        <f t="shared" si="2"/>
        <v>184.086432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110</v>
      </c>
      <c r="C12" s="160">
        <v>22.5</v>
      </c>
      <c r="D12" s="161">
        <v>0.0846</v>
      </c>
      <c r="E12" s="162">
        <f>224.14*1</f>
        <v>224.14</v>
      </c>
      <c r="F12" s="162"/>
      <c r="G12" s="162"/>
      <c r="H12" s="157">
        <v>1.0</v>
      </c>
      <c r="I12" s="158">
        <f t="shared" si="1"/>
        <v>18.962244</v>
      </c>
      <c r="J12" s="159">
        <f t="shared" si="2"/>
        <v>205.177756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34921.967</v>
      </c>
      <c r="F25" s="168"/>
      <c r="G25" s="168"/>
      <c r="H25" s="169"/>
      <c r="I25" s="170">
        <f t="shared" ref="I25:J25" si="3">SUM(I8:I24)</f>
        <v>2306.091097</v>
      </c>
      <c r="J25" s="171">
        <f t="shared" si="3"/>
        <v>32615.8759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111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63</v>
      </c>
      <c r="C32" s="183">
        <v>97.0</v>
      </c>
      <c r="D32" s="183">
        <v>205.0</v>
      </c>
      <c r="E32" s="183">
        <v>207.0</v>
      </c>
      <c r="F32" s="183">
        <f t="shared" ref="F32:F233" si="5">VALUE(IF(RIGHT(B32, 1)="%", RIGHT(B32, 3), 0))</f>
        <v>0</v>
      </c>
      <c r="G32" s="183">
        <f t="shared" ref="G32:G233" si="6">+R32*C32/100*D32/100*E32/100</f>
        <v>104.9629725</v>
      </c>
      <c r="H32" s="184">
        <f t="shared" ref="H32:H233" si="7">IF(F32=0, G32, F32*G32)</f>
        <v>104.9629725</v>
      </c>
      <c r="I32" s="183">
        <v>1.0</v>
      </c>
      <c r="J32" s="185">
        <f t="shared" ref="J32:J233" si="8">+I32*H32</f>
        <v>104.9629725</v>
      </c>
      <c r="K32" s="186"/>
      <c r="L32" s="187">
        <f>D32*25.4/1000</f>
        <v>5.207</v>
      </c>
      <c r="M32" s="188">
        <f>+I32</f>
        <v>1</v>
      </c>
      <c r="N32" s="188">
        <f>M32*L32</f>
        <v>5.207</v>
      </c>
      <c r="O32" s="186"/>
      <c r="P32" s="186"/>
      <c r="Q32" s="187">
        <v>108.0</v>
      </c>
      <c r="R32" s="189">
        <v>25.5</v>
      </c>
      <c r="S32" s="177">
        <f t="shared" ref="S32:S234" si="9">E32/100</f>
        <v>2.07</v>
      </c>
      <c r="T32" s="160">
        <f t="shared" ref="T32:T234" si="10">I32</f>
        <v>1</v>
      </c>
      <c r="U32" s="160">
        <f t="shared" ref="U32:U234" si="11">T32*S32</f>
        <v>2.07</v>
      </c>
      <c r="V32" s="190">
        <f t="shared" ref="V32:V91" si="12">R32*C32/100*D32/100*E32/100</f>
        <v>104.9629725</v>
      </c>
      <c r="W32" s="177">
        <f t="shared" ref="W32:X32" si="4">C32/100</f>
        <v>0.97</v>
      </c>
      <c r="X32" s="177">
        <f t="shared" si="4"/>
        <v>2.05</v>
      </c>
      <c r="Y32" s="177">
        <f t="shared" ref="Y32:Y234" si="14">U32</f>
        <v>2.07</v>
      </c>
      <c r="Z32" s="191">
        <f t="shared" ref="Z32:Z234" si="15">W32*X32*Y32</f>
        <v>4.116195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63</v>
      </c>
      <c r="C33" s="192">
        <v>104.0</v>
      </c>
      <c r="D33" s="192">
        <v>205.0</v>
      </c>
      <c r="E33" s="192">
        <v>197.0</v>
      </c>
      <c r="F33" s="192">
        <f t="shared" si="5"/>
        <v>0</v>
      </c>
      <c r="G33" s="192">
        <f t="shared" si="6"/>
        <v>107.10102</v>
      </c>
      <c r="H33" s="193">
        <f t="shared" si="7"/>
        <v>107.10102</v>
      </c>
      <c r="I33" s="192">
        <v>1.0</v>
      </c>
      <c r="J33" s="194">
        <f t="shared" si="8"/>
        <v>107.10102</v>
      </c>
      <c r="K33" s="139"/>
      <c r="L33" s="177"/>
      <c r="M33" s="160"/>
      <c r="N33" s="160"/>
      <c r="O33" s="139"/>
      <c r="P33" s="139"/>
      <c r="Q33" s="177">
        <v>107.0</v>
      </c>
      <c r="R33" s="189">
        <v>25.5</v>
      </c>
      <c r="S33" s="177">
        <f t="shared" si="9"/>
        <v>1.97</v>
      </c>
      <c r="T33" s="160">
        <f t="shared" si="10"/>
        <v>1</v>
      </c>
      <c r="U33" s="160">
        <f t="shared" si="11"/>
        <v>1.97</v>
      </c>
      <c r="V33" s="190">
        <f t="shared" si="12"/>
        <v>107.10102</v>
      </c>
      <c r="W33" s="177">
        <f t="shared" ref="W33:X33" si="13">C33/100</f>
        <v>1.04</v>
      </c>
      <c r="X33" s="177">
        <f t="shared" si="13"/>
        <v>2.05</v>
      </c>
      <c r="Y33" s="177">
        <f t="shared" si="14"/>
        <v>1.97</v>
      </c>
      <c r="Z33" s="191">
        <f t="shared" si="15"/>
        <v>4.20004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63</v>
      </c>
      <c r="C34" s="192">
        <v>97.0</v>
      </c>
      <c r="D34" s="192">
        <v>205.0</v>
      </c>
      <c r="E34" s="192">
        <v>192.0</v>
      </c>
      <c r="F34" s="192">
        <f t="shared" si="5"/>
        <v>0</v>
      </c>
      <c r="G34" s="192">
        <f t="shared" si="6"/>
        <v>97.35696</v>
      </c>
      <c r="H34" s="193">
        <f t="shared" si="7"/>
        <v>97.35696</v>
      </c>
      <c r="I34" s="192">
        <v>1.0</v>
      </c>
      <c r="J34" s="194">
        <f t="shared" si="8"/>
        <v>97.35696</v>
      </c>
      <c r="K34" s="139"/>
      <c r="L34" s="177">
        <f t="shared" ref="L34:L56" si="17">D34*25.4/1000</f>
        <v>5.207</v>
      </c>
      <c r="M34" s="160">
        <f t="shared" ref="M34:M66" si="18">+I34</f>
        <v>1</v>
      </c>
      <c r="N34" s="160">
        <f t="shared" ref="N34:N56" si="19">M34*L34</f>
        <v>5.207</v>
      </c>
      <c r="O34" s="139"/>
      <c r="P34" s="139"/>
      <c r="Q34" s="177">
        <v>105.0</v>
      </c>
      <c r="R34" s="189">
        <v>25.5</v>
      </c>
      <c r="S34" s="177">
        <f t="shared" si="9"/>
        <v>1.92</v>
      </c>
      <c r="T34" s="160">
        <f t="shared" si="10"/>
        <v>1</v>
      </c>
      <c r="U34" s="160">
        <f t="shared" si="11"/>
        <v>1.92</v>
      </c>
      <c r="V34" s="190">
        <f t="shared" si="12"/>
        <v>97.35696</v>
      </c>
      <c r="W34" s="177">
        <f t="shared" ref="W34:X34" si="16">C34/100</f>
        <v>0.97</v>
      </c>
      <c r="X34" s="177">
        <f t="shared" si="16"/>
        <v>2.05</v>
      </c>
      <c r="Y34" s="177">
        <f t="shared" si="14"/>
        <v>1.92</v>
      </c>
      <c r="Z34" s="191">
        <f t="shared" si="15"/>
        <v>3.81792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63</v>
      </c>
      <c r="C35" s="192">
        <v>104.0</v>
      </c>
      <c r="D35" s="192">
        <v>205.0</v>
      </c>
      <c r="E35" s="192">
        <v>71.0</v>
      </c>
      <c r="F35" s="192">
        <f t="shared" si="5"/>
        <v>0</v>
      </c>
      <c r="G35" s="192">
        <f t="shared" si="6"/>
        <v>38.59986</v>
      </c>
      <c r="H35" s="193">
        <f t="shared" si="7"/>
        <v>38.59986</v>
      </c>
      <c r="I35" s="192">
        <v>1.0</v>
      </c>
      <c r="J35" s="194">
        <f t="shared" si="8"/>
        <v>38.59986</v>
      </c>
      <c r="K35" s="139"/>
      <c r="L35" s="177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7">
        <v>56.0</v>
      </c>
      <c r="R35" s="189">
        <v>25.5</v>
      </c>
      <c r="S35" s="177">
        <f t="shared" si="9"/>
        <v>0.71</v>
      </c>
      <c r="T35" s="160">
        <f t="shared" si="10"/>
        <v>1</v>
      </c>
      <c r="U35" s="160">
        <f t="shared" si="11"/>
        <v>0.71</v>
      </c>
      <c r="V35" s="190">
        <f t="shared" si="12"/>
        <v>38.59986</v>
      </c>
      <c r="W35" s="177">
        <f t="shared" ref="W35:X35" si="20">C35/100</f>
        <v>1.04</v>
      </c>
      <c r="X35" s="177">
        <f t="shared" si="20"/>
        <v>2.05</v>
      </c>
      <c r="Y35" s="177">
        <f t="shared" si="14"/>
        <v>0.71</v>
      </c>
      <c r="Z35" s="191">
        <f t="shared" si="15"/>
        <v>1.51372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63</v>
      </c>
      <c r="C36" s="192">
        <v>104.0</v>
      </c>
      <c r="D36" s="192">
        <v>205.0</v>
      </c>
      <c r="E36" s="192">
        <v>67.0</v>
      </c>
      <c r="F36" s="192">
        <f t="shared" si="5"/>
        <v>0</v>
      </c>
      <c r="G36" s="192">
        <f t="shared" si="6"/>
        <v>36.42522</v>
      </c>
      <c r="H36" s="193">
        <f t="shared" si="7"/>
        <v>36.42522</v>
      </c>
      <c r="I36" s="192">
        <v>1.0</v>
      </c>
      <c r="J36" s="194">
        <f t="shared" si="8"/>
        <v>36.42522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56.0</v>
      </c>
      <c r="R36" s="189">
        <v>25.5</v>
      </c>
      <c r="S36" s="177">
        <f t="shared" si="9"/>
        <v>0.67</v>
      </c>
      <c r="T36" s="160">
        <f t="shared" si="10"/>
        <v>1</v>
      </c>
      <c r="U36" s="160">
        <f t="shared" si="11"/>
        <v>0.67</v>
      </c>
      <c r="V36" s="190">
        <f t="shared" si="12"/>
        <v>36.42522</v>
      </c>
      <c r="W36" s="177">
        <f t="shared" ref="W36:X36" si="21">C36/100</f>
        <v>1.04</v>
      </c>
      <c r="X36" s="177">
        <f t="shared" si="21"/>
        <v>2.05</v>
      </c>
      <c r="Y36" s="177">
        <f t="shared" si="14"/>
        <v>0.67</v>
      </c>
      <c r="Z36" s="191">
        <f t="shared" si="15"/>
        <v>1.42844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2" t="s">
        <v>63</v>
      </c>
      <c r="C37" s="192">
        <v>103.0</v>
      </c>
      <c r="D37" s="192">
        <v>204.0</v>
      </c>
      <c r="E37" s="192">
        <v>2862.0</v>
      </c>
      <c r="F37" s="192">
        <f t="shared" si="5"/>
        <v>0</v>
      </c>
      <c r="G37" s="192">
        <f t="shared" si="6"/>
        <v>1533.476772</v>
      </c>
      <c r="H37" s="193">
        <f t="shared" si="7"/>
        <v>1533.476772</v>
      </c>
      <c r="I37" s="192">
        <v>1.0</v>
      </c>
      <c r="J37" s="194">
        <f t="shared" si="8"/>
        <v>1533.476772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1555.0</v>
      </c>
      <c r="R37" s="189">
        <v>25.5</v>
      </c>
      <c r="S37" s="177">
        <f t="shared" si="9"/>
        <v>28.62</v>
      </c>
      <c r="T37" s="160">
        <f t="shared" si="10"/>
        <v>1</v>
      </c>
      <c r="U37" s="160">
        <f t="shared" si="11"/>
        <v>28.62</v>
      </c>
      <c r="V37" s="190">
        <f t="shared" si="12"/>
        <v>1533.476772</v>
      </c>
      <c r="W37" s="177">
        <f t="shared" ref="W37:X37" si="22">C37/100</f>
        <v>1.03</v>
      </c>
      <c r="X37" s="177">
        <f t="shared" si="22"/>
        <v>2.04</v>
      </c>
      <c r="Y37" s="177">
        <f t="shared" si="14"/>
        <v>28.62</v>
      </c>
      <c r="Z37" s="191">
        <f t="shared" si="15"/>
        <v>60.136344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63</v>
      </c>
      <c r="C38" s="192">
        <v>103.0</v>
      </c>
      <c r="D38" s="192">
        <v>204.0</v>
      </c>
      <c r="E38" s="192">
        <v>2863.0</v>
      </c>
      <c r="F38" s="192">
        <f t="shared" si="5"/>
        <v>0</v>
      </c>
      <c r="G38" s="192">
        <f t="shared" si="6"/>
        <v>1534.012578</v>
      </c>
      <c r="H38" s="193">
        <f t="shared" si="7"/>
        <v>1534.012578</v>
      </c>
      <c r="I38" s="192">
        <v>1.0</v>
      </c>
      <c r="J38" s="194">
        <f t="shared" si="8"/>
        <v>1534.012578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1540.0</v>
      </c>
      <c r="R38" s="189">
        <v>25.5</v>
      </c>
      <c r="S38" s="177">
        <f t="shared" si="9"/>
        <v>28.63</v>
      </c>
      <c r="T38" s="160">
        <f t="shared" si="10"/>
        <v>1</v>
      </c>
      <c r="U38" s="160">
        <f t="shared" si="11"/>
        <v>28.63</v>
      </c>
      <c r="V38" s="190">
        <f t="shared" si="12"/>
        <v>1534.012578</v>
      </c>
      <c r="W38" s="177">
        <f t="shared" ref="W38:X38" si="23">C38/100</f>
        <v>1.03</v>
      </c>
      <c r="X38" s="177">
        <f t="shared" si="23"/>
        <v>2.04</v>
      </c>
      <c r="Y38" s="177">
        <f t="shared" si="14"/>
        <v>28.63</v>
      </c>
      <c r="Z38" s="191">
        <f t="shared" si="15"/>
        <v>60.157356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63</v>
      </c>
      <c r="C39" s="192">
        <v>102.0</v>
      </c>
      <c r="D39" s="192">
        <v>204.0</v>
      </c>
      <c r="E39" s="192">
        <v>2860.0</v>
      </c>
      <c r="F39" s="192">
        <f t="shared" si="5"/>
        <v>0</v>
      </c>
      <c r="G39" s="192">
        <f t="shared" si="6"/>
        <v>1517.52744</v>
      </c>
      <c r="H39" s="193">
        <f t="shared" si="7"/>
        <v>1517.52744</v>
      </c>
      <c r="I39" s="192">
        <v>1.0</v>
      </c>
      <c r="J39" s="194">
        <f t="shared" si="8"/>
        <v>1517.52744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1535.0</v>
      </c>
      <c r="R39" s="189">
        <v>25.5</v>
      </c>
      <c r="S39" s="177">
        <f t="shared" si="9"/>
        <v>28.6</v>
      </c>
      <c r="T39" s="160">
        <f t="shared" si="10"/>
        <v>1</v>
      </c>
      <c r="U39" s="160">
        <f t="shared" si="11"/>
        <v>28.6</v>
      </c>
      <c r="V39" s="190">
        <f t="shared" si="12"/>
        <v>1517.52744</v>
      </c>
      <c r="W39" s="177">
        <f t="shared" ref="W39:X39" si="24">C39/100</f>
        <v>1.02</v>
      </c>
      <c r="X39" s="177">
        <f t="shared" si="24"/>
        <v>2.04</v>
      </c>
      <c r="Y39" s="177">
        <f t="shared" si="14"/>
        <v>28.6</v>
      </c>
      <c r="Z39" s="191">
        <f t="shared" si="15"/>
        <v>59.51088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63</v>
      </c>
      <c r="C40" s="192">
        <v>104.0</v>
      </c>
      <c r="D40" s="192">
        <v>204.0</v>
      </c>
      <c r="E40" s="192">
        <v>2860.0</v>
      </c>
      <c r="F40" s="192">
        <f t="shared" si="5"/>
        <v>0</v>
      </c>
      <c r="G40" s="192">
        <f t="shared" si="6"/>
        <v>1547.28288</v>
      </c>
      <c r="H40" s="193">
        <f t="shared" si="7"/>
        <v>1547.28288</v>
      </c>
      <c r="I40" s="192">
        <v>1.0</v>
      </c>
      <c r="J40" s="194">
        <f t="shared" si="8"/>
        <v>1547.28288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1540.0</v>
      </c>
      <c r="R40" s="189">
        <v>25.5</v>
      </c>
      <c r="S40" s="177">
        <f t="shared" si="9"/>
        <v>28.6</v>
      </c>
      <c r="T40" s="160">
        <f t="shared" si="10"/>
        <v>1</v>
      </c>
      <c r="U40" s="160">
        <f t="shared" si="11"/>
        <v>28.6</v>
      </c>
      <c r="V40" s="190">
        <f t="shared" si="12"/>
        <v>1547.28288</v>
      </c>
      <c r="W40" s="177">
        <f t="shared" ref="W40:X40" si="25">C40/100</f>
        <v>1.04</v>
      </c>
      <c r="X40" s="177">
        <f t="shared" si="25"/>
        <v>2.04</v>
      </c>
      <c r="Y40" s="177">
        <f t="shared" si="14"/>
        <v>28.6</v>
      </c>
      <c r="Z40" s="191">
        <f t="shared" si="15"/>
        <v>60.67776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82" t="s">
        <v>55</v>
      </c>
      <c r="C41" s="183">
        <v>96.0</v>
      </c>
      <c r="D41" s="183">
        <v>205.0</v>
      </c>
      <c r="E41" s="183">
        <v>186.0</v>
      </c>
      <c r="F41" s="183">
        <f t="shared" si="5"/>
        <v>0</v>
      </c>
      <c r="G41" s="183">
        <f t="shared" si="6"/>
        <v>82.3608</v>
      </c>
      <c r="H41" s="184">
        <f t="shared" si="7"/>
        <v>82.3608</v>
      </c>
      <c r="I41" s="183">
        <v>1.0</v>
      </c>
      <c r="J41" s="185">
        <f t="shared" si="8"/>
        <v>82.3608</v>
      </c>
      <c r="K41" s="186"/>
      <c r="L41" s="187">
        <f t="shared" si="17"/>
        <v>5.207</v>
      </c>
      <c r="M41" s="188">
        <f t="shared" si="18"/>
        <v>1</v>
      </c>
      <c r="N41" s="188">
        <f t="shared" si="19"/>
        <v>5.207</v>
      </c>
      <c r="O41" s="186"/>
      <c r="P41" s="186"/>
      <c r="Q41" s="187">
        <v>88.0</v>
      </c>
      <c r="R41" s="189">
        <v>22.5</v>
      </c>
      <c r="S41" s="177">
        <f t="shared" si="9"/>
        <v>1.86</v>
      </c>
      <c r="T41" s="160">
        <f t="shared" si="10"/>
        <v>1</v>
      </c>
      <c r="U41" s="160">
        <f t="shared" si="11"/>
        <v>1.86</v>
      </c>
      <c r="V41" s="190">
        <f t="shared" si="12"/>
        <v>82.3608</v>
      </c>
      <c r="W41" s="177">
        <f t="shared" ref="W41:X41" si="26">C41/100</f>
        <v>0.96</v>
      </c>
      <c r="X41" s="177">
        <f t="shared" si="26"/>
        <v>2.05</v>
      </c>
      <c r="Y41" s="177">
        <f t="shared" si="14"/>
        <v>1.86</v>
      </c>
      <c r="Z41" s="191">
        <f t="shared" si="15"/>
        <v>3.66048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55</v>
      </c>
      <c r="C42" s="192">
        <v>73.0</v>
      </c>
      <c r="D42" s="192">
        <v>205.0</v>
      </c>
      <c r="E42" s="192">
        <v>130.0</v>
      </c>
      <c r="F42" s="192">
        <f t="shared" si="5"/>
        <v>0</v>
      </c>
      <c r="G42" s="192">
        <f t="shared" si="6"/>
        <v>43.772625</v>
      </c>
      <c r="H42" s="193">
        <f t="shared" si="7"/>
        <v>43.772625</v>
      </c>
      <c r="I42" s="192">
        <v>1.0</v>
      </c>
      <c r="J42" s="194">
        <f t="shared" si="8"/>
        <v>43.772625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55.0</v>
      </c>
      <c r="R42" s="189">
        <v>22.5</v>
      </c>
      <c r="S42" s="177">
        <f t="shared" si="9"/>
        <v>1.3</v>
      </c>
      <c r="T42" s="160">
        <f t="shared" si="10"/>
        <v>1</v>
      </c>
      <c r="U42" s="160">
        <f t="shared" si="11"/>
        <v>1.3</v>
      </c>
      <c r="V42" s="190">
        <f t="shared" si="12"/>
        <v>43.772625</v>
      </c>
      <c r="W42" s="177">
        <f t="shared" ref="W42:X42" si="27">C42/100</f>
        <v>0.73</v>
      </c>
      <c r="X42" s="177">
        <f t="shared" si="27"/>
        <v>2.05</v>
      </c>
      <c r="Y42" s="177">
        <f t="shared" si="14"/>
        <v>1.3</v>
      </c>
      <c r="Z42" s="191">
        <f t="shared" si="15"/>
        <v>1.94545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55</v>
      </c>
      <c r="C43" s="192">
        <v>100.0</v>
      </c>
      <c r="D43" s="192">
        <v>205.0</v>
      </c>
      <c r="E43" s="192">
        <v>67.0</v>
      </c>
      <c r="F43" s="192">
        <f t="shared" si="5"/>
        <v>0</v>
      </c>
      <c r="G43" s="192">
        <f t="shared" si="6"/>
        <v>30.90375</v>
      </c>
      <c r="H43" s="193">
        <f t="shared" si="7"/>
        <v>30.90375</v>
      </c>
      <c r="I43" s="192">
        <v>1.0</v>
      </c>
      <c r="J43" s="194">
        <f t="shared" si="8"/>
        <v>30.90375</v>
      </c>
      <c r="K43" s="139"/>
      <c r="L43" s="177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7">
        <v>47.0</v>
      </c>
      <c r="R43" s="189">
        <v>22.5</v>
      </c>
      <c r="S43" s="177">
        <f t="shared" si="9"/>
        <v>0.67</v>
      </c>
      <c r="T43" s="160">
        <f t="shared" si="10"/>
        <v>1</v>
      </c>
      <c r="U43" s="160">
        <f t="shared" si="11"/>
        <v>0.67</v>
      </c>
      <c r="V43" s="190">
        <f t="shared" si="12"/>
        <v>30.90375</v>
      </c>
      <c r="W43" s="177">
        <f t="shared" ref="W43:X43" si="28">C43/100</f>
        <v>1</v>
      </c>
      <c r="X43" s="177">
        <f t="shared" si="28"/>
        <v>2.05</v>
      </c>
      <c r="Y43" s="177">
        <f t="shared" si="14"/>
        <v>0.67</v>
      </c>
      <c r="Z43" s="191">
        <f t="shared" si="15"/>
        <v>1.3735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55</v>
      </c>
      <c r="C44" s="192">
        <v>99.0</v>
      </c>
      <c r="D44" s="192">
        <v>205.0</v>
      </c>
      <c r="E44" s="192">
        <v>64.0</v>
      </c>
      <c r="F44" s="192">
        <f t="shared" si="5"/>
        <v>0</v>
      </c>
      <c r="G44" s="192">
        <f t="shared" si="6"/>
        <v>29.2248</v>
      </c>
      <c r="H44" s="193">
        <f t="shared" si="7"/>
        <v>29.2248</v>
      </c>
      <c r="I44" s="192">
        <v>1.0</v>
      </c>
      <c r="J44" s="194">
        <f t="shared" si="8"/>
        <v>29.2248</v>
      </c>
      <c r="K44" s="139"/>
      <c r="L44" s="177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7">
        <v>47.0</v>
      </c>
      <c r="R44" s="189">
        <v>22.5</v>
      </c>
      <c r="S44" s="177">
        <f t="shared" si="9"/>
        <v>0.64</v>
      </c>
      <c r="T44" s="160">
        <f t="shared" si="10"/>
        <v>1</v>
      </c>
      <c r="U44" s="160">
        <f t="shared" si="11"/>
        <v>0.64</v>
      </c>
      <c r="V44" s="190">
        <f t="shared" si="12"/>
        <v>29.2248</v>
      </c>
      <c r="W44" s="177">
        <f t="shared" ref="W44:X44" si="29">C44/100</f>
        <v>0.99</v>
      </c>
      <c r="X44" s="177">
        <f t="shared" si="29"/>
        <v>2.05</v>
      </c>
      <c r="Y44" s="177">
        <f t="shared" si="14"/>
        <v>0.64</v>
      </c>
      <c r="Z44" s="191">
        <f t="shared" si="15"/>
        <v>1.29888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55</v>
      </c>
      <c r="C45" s="192">
        <v>100.0</v>
      </c>
      <c r="D45" s="192">
        <v>204.0</v>
      </c>
      <c r="E45" s="192">
        <v>2875.0</v>
      </c>
      <c r="F45" s="192">
        <f t="shared" si="5"/>
        <v>0</v>
      </c>
      <c r="G45" s="192">
        <f t="shared" si="6"/>
        <v>1319.625</v>
      </c>
      <c r="H45" s="193">
        <f t="shared" si="7"/>
        <v>1319.625</v>
      </c>
      <c r="I45" s="192">
        <v>1.0</v>
      </c>
      <c r="J45" s="194">
        <f t="shared" si="8"/>
        <v>1319.625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1370.0</v>
      </c>
      <c r="R45" s="189">
        <v>22.5</v>
      </c>
      <c r="S45" s="177">
        <f t="shared" si="9"/>
        <v>28.75</v>
      </c>
      <c r="T45" s="160">
        <f t="shared" si="10"/>
        <v>1</v>
      </c>
      <c r="U45" s="160">
        <f t="shared" si="11"/>
        <v>28.75</v>
      </c>
      <c r="V45" s="190">
        <f t="shared" si="12"/>
        <v>1319.625</v>
      </c>
      <c r="W45" s="177">
        <f t="shared" ref="W45:X45" si="30">C45/100</f>
        <v>1</v>
      </c>
      <c r="X45" s="177">
        <f t="shared" si="30"/>
        <v>2.04</v>
      </c>
      <c r="Y45" s="177">
        <f t="shared" si="14"/>
        <v>28.75</v>
      </c>
      <c r="Z45" s="191">
        <f t="shared" si="15"/>
        <v>58.65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55</v>
      </c>
      <c r="C46" s="192">
        <v>101.0</v>
      </c>
      <c r="D46" s="192">
        <v>204.0</v>
      </c>
      <c r="E46" s="192">
        <v>2869.0</v>
      </c>
      <c r="F46" s="192">
        <f t="shared" si="5"/>
        <v>0</v>
      </c>
      <c r="G46" s="192">
        <f t="shared" si="6"/>
        <v>1330.03971</v>
      </c>
      <c r="H46" s="193">
        <f t="shared" si="7"/>
        <v>1330.03971</v>
      </c>
      <c r="I46" s="192">
        <v>1.0</v>
      </c>
      <c r="J46" s="194">
        <f t="shared" si="8"/>
        <v>1330.03971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1375.0</v>
      </c>
      <c r="R46" s="189">
        <v>22.5</v>
      </c>
      <c r="S46" s="177">
        <f t="shared" si="9"/>
        <v>28.69</v>
      </c>
      <c r="T46" s="160">
        <f t="shared" si="10"/>
        <v>1</v>
      </c>
      <c r="U46" s="160">
        <f t="shared" si="11"/>
        <v>28.69</v>
      </c>
      <c r="V46" s="190">
        <f t="shared" si="12"/>
        <v>1330.03971</v>
      </c>
      <c r="W46" s="177">
        <f t="shared" ref="W46:X46" si="31">C46/100</f>
        <v>1.01</v>
      </c>
      <c r="X46" s="177">
        <f t="shared" si="31"/>
        <v>2.04</v>
      </c>
      <c r="Y46" s="177">
        <f t="shared" si="14"/>
        <v>28.69</v>
      </c>
      <c r="Z46" s="191">
        <f t="shared" si="15"/>
        <v>59.112876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55</v>
      </c>
      <c r="C47" s="192">
        <v>100.0</v>
      </c>
      <c r="D47" s="192">
        <v>204.0</v>
      </c>
      <c r="E47" s="192">
        <v>2869.0</v>
      </c>
      <c r="F47" s="192">
        <f t="shared" si="5"/>
        <v>0</v>
      </c>
      <c r="G47" s="192">
        <f t="shared" si="6"/>
        <v>1316.871</v>
      </c>
      <c r="H47" s="193">
        <f t="shared" si="7"/>
        <v>1316.871</v>
      </c>
      <c r="I47" s="192">
        <v>1.0</v>
      </c>
      <c r="J47" s="194">
        <f t="shared" si="8"/>
        <v>1316.871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1360.0</v>
      </c>
      <c r="R47" s="189">
        <v>22.5</v>
      </c>
      <c r="S47" s="177">
        <f t="shared" si="9"/>
        <v>28.69</v>
      </c>
      <c r="T47" s="160">
        <f t="shared" si="10"/>
        <v>1</v>
      </c>
      <c r="U47" s="160">
        <f t="shared" si="11"/>
        <v>28.69</v>
      </c>
      <c r="V47" s="190">
        <f t="shared" si="12"/>
        <v>1316.871</v>
      </c>
      <c r="W47" s="177">
        <f t="shared" ref="W47:X47" si="32">C47/100</f>
        <v>1</v>
      </c>
      <c r="X47" s="177">
        <f t="shared" si="32"/>
        <v>2.04</v>
      </c>
      <c r="Y47" s="177">
        <f t="shared" si="14"/>
        <v>28.69</v>
      </c>
      <c r="Z47" s="191">
        <f t="shared" si="15"/>
        <v>58.5276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55</v>
      </c>
      <c r="C48" s="192">
        <v>101.0</v>
      </c>
      <c r="D48" s="192">
        <v>204.0</v>
      </c>
      <c r="E48" s="192">
        <v>2869.0</v>
      </c>
      <c r="F48" s="192">
        <f t="shared" si="5"/>
        <v>0</v>
      </c>
      <c r="G48" s="192">
        <f t="shared" si="6"/>
        <v>1330.03971</v>
      </c>
      <c r="H48" s="193">
        <f t="shared" si="7"/>
        <v>1330.03971</v>
      </c>
      <c r="I48" s="192">
        <v>1.0</v>
      </c>
      <c r="J48" s="194">
        <f t="shared" si="8"/>
        <v>1330.03971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1380.0</v>
      </c>
      <c r="R48" s="189">
        <v>22.5</v>
      </c>
      <c r="S48" s="177">
        <f t="shared" si="9"/>
        <v>28.69</v>
      </c>
      <c r="T48" s="160">
        <f t="shared" si="10"/>
        <v>1</v>
      </c>
      <c r="U48" s="160">
        <f t="shared" si="11"/>
        <v>28.69</v>
      </c>
      <c r="V48" s="190">
        <f t="shared" si="12"/>
        <v>1330.03971</v>
      </c>
      <c r="W48" s="177">
        <f t="shared" ref="W48:X48" si="33">C48/100</f>
        <v>1.01</v>
      </c>
      <c r="X48" s="177">
        <f t="shared" si="33"/>
        <v>2.04</v>
      </c>
      <c r="Y48" s="177">
        <f t="shared" si="14"/>
        <v>28.69</v>
      </c>
      <c r="Z48" s="191">
        <f t="shared" si="15"/>
        <v>59.112876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55</v>
      </c>
      <c r="C49" s="192">
        <v>102.0</v>
      </c>
      <c r="D49" s="192">
        <v>204.0</v>
      </c>
      <c r="E49" s="192">
        <v>2869.0</v>
      </c>
      <c r="F49" s="192">
        <f t="shared" si="5"/>
        <v>0</v>
      </c>
      <c r="G49" s="192">
        <f t="shared" si="6"/>
        <v>1343.20842</v>
      </c>
      <c r="H49" s="193">
        <f t="shared" si="7"/>
        <v>1343.20842</v>
      </c>
      <c r="I49" s="192">
        <v>1.0</v>
      </c>
      <c r="J49" s="194">
        <f t="shared" si="8"/>
        <v>1343.20842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1355.0</v>
      </c>
      <c r="R49" s="189">
        <v>22.5</v>
      </c>
      <c r="S49" s="177">
        <f t="shared" si="9"/>
        <v>28.69</v>
      </c>
      <c r="T49" s="160">
        <f t="shared" si="10"/>
        <v>1</v>
      </c>
      <c r="U49" s="160">
        <f t="shared" si="11"/>
        <v>28.69</v>
      </c>
      <c r="V49" s="190">
        <f t="shared" si="12"/>
        <v>1343.20842</v>
      </c>
      <c r="W49" s="177">
        <f t="shared" ref="W49:X49" si="34">C49/100</f>
        <v>1.02</v>
      </c>
      <c r="X49" s="177">
        <f t="shared" si="34"/>
        <v>2.04</v>
      </c>
      <c r="Y49" s="177">
        <f t="shared" si="14"/>
        <v>28.69</v>
      </c>
      <c r="Z49" s="191">
        <f t="shared" si="15"/>
        <v>59.698152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55</v>
      </c>
      <c r="C50" s="192">
        <v>100.0</v>
      </c>
      <c r="D50" s="192">
        <v>204.0</v>
      </c>
      <c r="E50" s="192">
        <v>2876.0</v>
      </c>
      <c r="F50" s="192">
        <f t="shared" si="5"/>
        <v>0</v>
      </c>
      <c r="G50" s="192">
        <f t="shared" si="6"/>
        <v>1320.084</v>
      </c>
      <c r="H50" s="193">
        <f t="shared" si="7"/>
        <v>1320.084</v>
      </c>
      <c r="I50" s="192">
        <v>1.0</v>
      </c>
      <c r="J50" s="194">
        <f t="shared" si="8"/>
        <v>1320.084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1360.0</v>
      </c>
      <c r="R50" s="189">
        <v>22.5</v>
      </c>
      <c r="S50" s="177">
        <f t="shared" si="9"/>
        <v>28.76</v>
      </c>
      <c r="T50" s="160">
        <f t="shared" si="10"/>
        <v>1</v>
      </c>
      <c r="U50" s="160">
        <f t="shared" si="11"/>
        <v>28.76</v>
      </c>
      <c r="V50" s="190">
        <f t="shared" si="12"/>
        <v>1320.084</v>
      </c>
      <c r="W50" s="177">
        <f t="shared" ref="W50:X50" si="35">C50/100</f>
        <v>1</v>
      </c>
      <c r="X50" s="177">
        <f t="shared" si="35"/>
        <v>2.04</v>
      </c>
      <c r="Y50" s="177">
        <f t="shared" si="14"/>
        <v>28.76</v>
      </c>
      <c r="Z50" s="191">
        <f t="shared" si="15"/>
        <v>58.6704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2" t="s">
        <v>55</v>
      </c>
      <c r="C51" s="192">
        <v>101.0</v>
      </c>
      <c r="D51" s="192">
        <v>204.0</v>
      </c>
      <c r="E51" s="192">
        <v>2871.0</v>
      </c>
      <c r="F51" s="192">
        <f t="shared" si="5"/>
        <v>0</v>
      </c>
      <c r="G51" s="192">
        <f t="shared" si="6"/>
        <v>1330.96689</v>
      </c>
      <c r="H51" s="193">
        <f t="shared" si="7"/>
        <v>1330.96689</v>
      </c>
      <c r="I51" s="192">
        <v>1.0</v>
      </c>
      <c r="J51" s="194">
        <f t="shared" si="8"/>
        <v>1330.96689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1350.0</v>
      </c>
      <c r="R51" s="189">
        <v>22.5</v>
      </c>
      <c r="S51" s="177">
        <f t="shared" si="9"/>
        <v>28.71</v>
      </c>
      <c r="T51" s="160">
        <f t="shared" si="10"/>
        <v>1</v>
      </c>
      <c r="U51" s="160">
        <f t="shared" si="11"/>
        <v>28.71</v>
      </c>
      <c r="V51" s="190">
        <f t="shared" si="12"/>
        <v>1330.96689</v>
      </c>
      <c r="W51" s="177">
        <f t="shared" ref="W51:X51" si="36">C51/100</f>
        <v>1.01</v>
      </c>
      <c r="X51" s="177">
        <f t="shared" si="36"/>
        <v>2.04</v>
      </c>
      <c r="Y51" s="177">
        <f t="shared" si="14"/>
        <v>28.71</v>
      </c>
      <c r="Z51" s="191">
        <f t="shared" si="15"/>
        <v>59.154084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55</v>
      </c>
      <c r="C52" s="192">
        <v>103.0</v>
      </c>
      <c r="D52" s="192">
        <v>204.0</v>
      </c>
      <c r="E52" s="192">
        <v>2876.0</v>
      </c>
      <c r="F52" s="192">
        <f t="shared" si="5"/>
        <v>0</v>
      </c>
      <c r="G52" s="192">
        <f t="shared" si="6"/>
        <v>1359.68652</v>
      </c>
      <c r="H52" s="193">
        <f t="shared" si="7"/>
        <v>1359.68652</v>
      </c>
      <c r="I52" s="192">
        <v>1.0</v>
      </c>
      <c r="J52" s="194">
        <f t="shared" si="8"/>
        <v>1359.68652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1365.0</v>
      </c>
      <c r="R52" s="189">
        <v>22.5</v>
      </c>
      <c r="S52" s="177">
        <f t="shared" si="9"/>
        <v>28.76</v>
      </c>
      <c r="T52" s="160">
        <f t="shared" si="10"/>
        <v>1</v>
      </c>
      <c r="U52" s="160">
        <f t="shared" si="11"/>
        <v>28.76</v>
      </c>
      <c r="V52" s="190">
        <f t="shared" si="12"/>
        <v>1359.68652</v>
      </c>
      <c r="W52" s="177">
        <f t="shared" ref="W52:X52" si="37">C52/100</f>
        <v>1.03</v>
      </c>
      <c r="X52" s="177">
        <f t="shared" si="37"/>
        <v>2.04</v>
      </c>
      <c r="Y52" s="177">
        <f t="shared" si="14"/>
        <v>28.76</v>
      </c>
      <c r="Z52" s="191">
        <f t="shared" si="15"/>
        <v>60.430512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55</v>
      </c>
      <c r="C53" s="192">
        <v>100.0</v>
      </c>
      <c r="D53" s="192">
        <v>204.0</v>
      </c>
      <c r="E53" s="192">
        <v>2866.0</v>
      </c>
      <c r="F53" s="192">
        <f t="shared" si="5"/>
        <v>0</v>
      </c>
      <c r="G53" s="192">
        <f t="shared" si="6"/>
        <v>1315.494</v>
      </c>
      <c r="H53" s="193">
        <f t="shared" si="7"/>
        <v>1315.494</v>
      </c>
      <c r="I53" s="192">
        <v>1.0</v>
      </c>
      <c r="J53" s="194">
        <f t="shared" si="8"/>
        <v>1315.494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1340.0</v>
      </c>
      <c r="R53" s="189">
        <v>22.5</v>
      </c>
      <c r="S53" s="177">
        <f t="shared" si="9"/>
        <v>28.66</v>
      </c>
      <c r="T53" s="160">
        <f t="shared" si="10"/>
        <v>1</v>
      </c>
      <c r="U53" s="160">
        <f t="shared" si="11"/>
        <v>28.66</v>
      </c>
      <c r="V53" s="190">
        <f t="shared" si="12"/>
        <v>1315.494</v>
      </c>
      <c r="W53" s="177">
        <f t="shared" ref="W53:X53" si="38">C53/100</f>
        <v>1</v>
      </c>
      <c r="X53" s="177">
        <f t="shared" si="38"/>
        <v>2.04</v>
      </c>
      <c r="Y53" s="177">
        <f t="shared" si="14"/>
        <v>28.66</v>
      </c>
      <c r="Z53" s="191">
        <f t="shared" si="15"/>
        <v>58.4664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55</v>
      </c>
      <c r="C54" s="192">
        <v>100.0</v>
      </c>
      <c r="D54" s="192">
        <v>204.0</v>
      </c>
      <c r="E54" s="192">
        <v>2870.0</v>
      </c>
      <c r="F54" s="192">
        <f t="shared" si="5"/>
        <v>0</v>
      </c>
      <c r="G54" s="192">
        <f t="shared" si="6"/>
        <v>1317.33</v>
      </c>
      <c r="H54" s="193">
        <f t="shared" si="7"/>
        <v>1317.33</v>
      </c>
      <c r="I54" s="192">
        <v>1.0</v>
      </c>
      <c r="J54" s="194">
        <f t="shared" si="8"/>
        <v>1317.33</v>
      </c>
      <c r="K54" s="139"/>
      <c r="L54" s="177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7">
        <v>1370.0</v>
      </c>
      <c r="R54" s="189">
        <v>22.5</v>
      </c>
      <c r="S54" s="177">
        <f t="shared" si="9"/>
        <v>28.7</v>
      </c>
      <c r="T54" s="160">
        <f t="shared" si="10"/>
        <v>1</v>
      </c>
      <c r="U54" s="160">
        <f t="shared" si="11"/>
        <v>28.7</v>
      </c>
      <c r="V54" s="190">
        <f t="shared" si="12"/>
        <v>1317.33</v>
      </c>
      <c r="W54" s="177">
        <f t="shared" ref="W54:X54" si="39">C54/100</f>
        <v>1</v>
      </c>
      <c r="X54" s="177">
        <f t="shared" si="39"/>
        <v>2.04</v>
      </c>
      <c r="Y54" s="177">
        <f t="shared" si="14"/>
        <v>28.7</v>
      </c>
      <c r="Z54" s="191">
        <f t="shared" si="15"/>
        <v>58.548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55</v>
      </c>
      <c r="C55" s="192">
        <v>102.0</v>
      </c>
      <c r="D55" s="192">
        <v>204.0</v>
      </c>
      <c r="E55" s="192">
        <v>2860.0</v>
      </c>
      <c r="F55" s="192">
        <f t="shared" si="5"/>
        <v>0</v>
      </c>
      <c r="G55" s="192">
        <f t="shared" si="6"/>
        <v>1338.9948</v>
      </c>
      <c r="H55" s="193">
        <f t="shared" si="7"/>
        <v>1338.9948</v>
      </c>
      <c r="I55" s="192">
        <v>1.0</v>
      </c>
      <c r="J55" s="194">
        <f t="shared" si="8"/>
        <v>1338.9948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1340.0</v>
      </c>
      <c r="R55" s="189">
        <v>22.5</v>
      </c>
      <c r="S55" s="177">
        <f t="shared" si="9"/>
        <v>28.6</v>
      </c>
      <c r="T55" s="160">
        <f t="shared" si="10"/>
        <v>1</v>
      </c>
      <c r="U55" s="160">
        <f t="shared" si="11"/>
        <v>28.6</v>
      </c>
      <c r="V55" s="190">
        <f t="shared" si="12"/>
        <v>1338.9948</v>
      </c>
      <c r="W55" s="177">
        <f t="shared" ref="W55:X55" si="40">C55/100</f>
        <v>1.02</v>
      </c>
      <c r="X55" s="177">
        <f t="shared" si="40"/>
        <v>2.04</v>
      </c>
      <c r="Y55" s="177">
        <f t="shared" si="14"/>
        <v>28.6</v>
      </c>
      <c r="Z55" s="191">
        <f t="shared" si="15"/>
        <v>59.51088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55</v>
      </c>
      <c r="C56" s="192">
        <v>98.0</v>
      </c>
      <c r="D56" s="192">
        <v>204.0</v>
      </c>
      <c r="E56" s="192">
        <v>2869.0</v>
      </c>
      <c r="F56" s="192">
        <f t="shared" si="5"/>
        <v>0</v>
      </c>
      <c r="G56" s="192">
        <f t="shared" si="6"/>
        <v>1290.53358</v>
      </c>
      <c r="H56" s="193">
        <f t="shared" si="7"/>
        <v>1290.53358</v>
      </c>
      <c r="I56" s="192">
        <v>1.0</v>
      </c>
      <c r="J56" s="194">
        <f t="shared" si="8"/>
        <v>1290.53358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1330.0</v>
      </c>
      <c r="R56" s="189">
        <v>22.5</v>
      </c>
      <c r="S56" s="177">
        <f t="shared" si="9"/>
        <v>28.69</v>
      </c>
      <c r="T56" s="160">
        <f t="shared" si="10"/>
        <v>1</v>
      </c>
      <c r="U56" s="160">
        <f t="shared" si="11"/>
        <v>28.69</v>
      </c>
      <c r="V56" s="190">
        <f t="shared" si="12"/>
        <v>1290.53358</v>
      </c>
      <c r="W56" s="177">
        <f t="shared" ref="W56:X56" si="41">C56/100</f>
        <v>0.98</v>
      </c>
      <c r="X56" s="177">
        <f t="shared" si="41"/>
        <v>2.04</v>
      </c>
      <c r="Y56" s="177">
        <f t="shared" si="14"/>
        <v>28.69</v>
      </c>
      <c r="Z56" s="191">
        <f t="shared" si="15"/>
        <v>57.357048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55</v>
      </c>
      <c r="C57" s="192">
        <v>101.0</v>
      </c>
      <c r="D57" s="192">
        <v>204.0</v>
      </c>
      <c r="E57" s="192">
        <v>2862.0</v>
      </c>
      <c r="F57" s="192">
        <f t="shared" si="5"/>
        <v>0</v>
      </c>
      <c r="G57" s="192">
        <f t="shared" si="6"/>
        <v>1326.79458</v>
      </c>
      <c r="H57" s="193">
        <f t="shared" si="7"/>
        <v>1326.79458</v>
      </c>
      <c r="I57" s="192">
        <v>1.0</v>
      </c>
      <c r="J57" s="194">
        <f t="shared" si="8"/>
        <v>1326.79458</v>
      </c>
      <c r="K57" s="139"/>
      <c r="L57" s="195"/>
      <c r="M57" s="196">
        <f t="shared" si="18"/>
        <v>1</v>
      </c>
      <c r="N57" s="196"/>
      <c r="O57" s="139"/>
      <c r="P57" s="139"/>
      <c r="Q57" s="177">
        <v>1340.0</v>
      </c>
      <c r="R57" s="189">
        <v>22.5</v>
      </c>
      <c r="S57" s="177">
        <f t="shared" si="9"/>
        <v>28.62</v>
      </c>
      <c r="T57" s="160">
        <f t="shared" si="10"/>
        <v>1</v>
      </c>
      <c r="U57" s="160">
        <f t="shared" si="11"/>
        <v>28.62</v>
      </c>
      <c r="V57" s="190">
        <f t="shared" si="12"/>
        <v>1326.79458</v>
      </c>
      <c r="W57" s="177">
        <f t="shared" ref="W57:X57" si="42">C57/100</f>
        <v>1.01</v>
      </c>
      <c r="X57" s="177">
        <f t="shared" si="42"/>
        <v>2.04</v>
      </c>
      <c r="Y57" s="177">
        <f t="shared" si="14"/>
        <v>28.62</v>
      </c>
      <c r="Z57" s="191">
        <f t="shared" si="15"/>
        <v>58.968648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55</v>
      </c>
      <c r="C58" s="192">
        <v>100.0</v>
      </c>
      <c r="D58" s="192">
        <v>204.0</v>
      </c>
      <c r="E58" s="192">
        <v>2861.0</v>
      </c>
      <c r="F58" s="192">
        <f t="shared" si="5"/>
        <v>0</v>
      </c>
      <c r="G58" s="192">
        <f t="shared" si="6"/>
        <v>1313.199</v>
      </c>
      <c r="H58" s="193">
        <f t="shared" si="7"/>
        <v>1313.199</v>
      </c>
      <c r="I58" s="192">
        <v>1.0</v>
      </c>
      <c r="J58" s="194">
        <f t="shared" si="8"/>
        <v>1313.199</v>
      </c>
      <c r="K58" s="139"/>
      <c r="L58" s="195"/>
      <c r="M58" s="196">
        <f t="shared" si="18"/>
        <v>1</v>
      </c>
      <c r="N58" s="196"/>
      <c r="O58" s="139"/>
      <c r="P58" s="139"/>
      <c r="Q58" s="177">
        <v>1345.0</v>
      </c>
      <c r="R58" s="189">
        <v>22.5</v>
      </c>
      <c r="S58" s="177">
        <f t="shared" si="9"/>
        <v>28.61</v>
      </c>
      <c r="T58" s="160">
        <f t="shared" si="10"/>
        <v>1</v>
      </c>
      <c r="U58" s="160">
        <f t="shared" si="11"/>
        <v>28.61</v>
      </c>
      <c r="V58" s="190">
        <f t="shared" si="12"/>
        <v>1313.199</v>
      </c>
      <c r="W58" s="177">
        <f t="shared" ref="W58:X58" si="43">C58/100</f>
        <v>1</v>
      </c>
      <c r="X58" s="177">
        <f t="shared" si="43"/>
        <v>2.04</v>
      </c>
      <c r="Y58" s="177">
        <f t="shared" si="14"/>
        <v>28.61</v>
      </c>
      <c r="Z58" s="191">
        <f t="shared" si="15"/>
        <v>58.3644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55</v>
      </c>
      <c r="C59" s="192">
        <v>102.0</v>
      </c>
      <c r="D59" s="192">
        <v>204.0</v>
      </c>
      <c r="E59" s="192">
        <v>2876.0</v>
      </c>
      <c r="F59" s="192">
        <f t="shared" si="5"/>
        <v>0</v>
      </c>
      <c r="G59" s="192">
        <f t="shared" si="6"/>
        <v>1346.48568</v>
      </c>
      <c r="H59" s="193">
        <f t="shared" si="7"/>
        <v>1346.48568</v>
      </c>
      <c r="I59" s="192">
        <v>1.0</v>
      </c>
      <c r="J59" s="194">
        <f t="shared" si="8"/>
        <v>1346.48568</v>
      </c>
      <c r="K59" s="139"/>
      <c r="L59" s="195"/>
      <c r="M59" s="196">
        <f t="shared" si="18"/>
        <v>1</v>
      </c>
      <c r="N59" s="196"/>
      <c r="O59" s="139"/>
      <c r="P59" s="139"/>
      <c r="Q59" s="177">
        <v>1340.0</v>
      </c>
      <c r="R59" s="189">
        <v>22.5</v>
      </c>
      <c r="S59" s="177">
        <f t="shared" si="9"/>
        <v>28.76</v>
      </c>
      <c r="T59" s="160">
        <f t="shared" si="10"/>
        <v>1</v>
      </c>
      <c r="U59" s="160">
        <f t="shared" si="11"/>
        <v>28.76</v>
      </c>
      <c r="V59" s="190">
        <f t="shared" si="12"/>
        <v>1346.48568</v>
      </c>
      <c r="W59" s="177">
        <f t="shared" ref="W59:X59" si="44">C59/100</f>
        <v>1.02</v>
      </c>
      <c r="X59" s="177">
        <f t="shared" si="44"/>
        <v>2.04</v>
      </c>
      <c r="Y59" s="177">
        <f t="shared" si="14"/>
        <v>28.76</v>
      </c>
      <c r="Z59" s="191">
        <f t="shared" si="15"/>
        <v>59.843808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82" t="s">
        <v>108</v>
      </c>
      <c r="C60" s="183">
        <v>84.0</v>
      </c>
      <c r="D60" s="183">
        <v>206.0</v>
      </c>
      <c r="E60" s="183">
        <v>164.0</v>
      </c>
      <c r="F60" s="183">
        <f t="shared" si="5"/>
        <v>0</v>
      </c>
      <c r="G60" s="183">
        <f t="shared" si="6"/>
        <v>96.487104</v>
      </c>
      <c r="H60" s="184">
        <f t="shared" si="7"/>
        <v>96.487104</v>
      </c>
      <c r="I60" s="183">
        <v>1.0</v>
      </c>
      <c r="J60" s="185">
        <f t="shared" si="8"/>
        <v>96.487104</v>
      </c>
      <c r="K60" s="186"/>
      <c r="L60" s="265"/>
      <c r="M60" s="266">
        <f t="shared" si="18"/>
        <v>1</v>
      </c>
      <c r="N60" s="266"/>
      <c r="O60" s="186"/>
      <c r="P60" s="186"/>
      <c r="Q60" s="187">
        <v>103.0</v>
      </c>
      <c r="R60" s="189">
        <v>34.0</v>
      </c>
      <c r="S60" s="177">
        <f t="shared" si="9"/>
        <v>1.64</v>
      </c>
      <c r="T60" s="160">
        <f t="shared" si="10"/>
        <v>1</v>
      </c>
      <c r="U60" s="160">
        <f t="shared" si="11"/>
        <v>1.64</v>
      </c>
      <c r="V60" s="190">
        <f t="shared" si="12"/>
        <v>96.487104</v>
      </c>
      <c r="W60" s="177">
        <f t="shared" ref="W60:X60" si="45">C60/100</f>
        <v>0.84</v>
      </c>
      <c r="X60" s="177">
        <f t="shared" si="45"/>
        <v>2.06</v>
      </c>
      <c r="Y60" s="177">
        <f t="shared" si="14"/>
        <v>1.64</v>
      </c>
      <c r="Z60" s="191">
        <f t="shared" si="15"/>
        <v>2.837856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2" t="s">
        <v>108</v>
      </c>
      <c r="C61" s="192">
        <v>96.0</v>
      </c>
      <c r="D61" s="192">
        <v>206.0</v>
      </c>
      <c r="E61" s="192">
        <v>66.0</v>
      </c>
      <c r="F61" s="192">
        <f t="shared" si="5"/>
        <v>0</v>
      </c>
      <c r="G61" s="192">
        <f t="shared" si="6"/>
        <v>44.377344</v>
      </c>
      <c r="H61" s="193">
        <f t="shared" si="7"/>
        <v>44.377344</v>
      </c>
      <c r="I61" s="192">
        <v>1.0</v>
      </c>
      <c r="J61" s="194">
        <f t="shared" si="8"/>
        <v>44.377344</v>
      </c>
      <c r="K61" s="139"/>
      <c r="L61" s="195"/>
      <c r="M61" s="196">
        <f t="shared" si="18"/>
        <v>1</v>
      </c>
      <c r="N61" s="196"/>
      <c r="O61" s="139"/>
      <c r="P61" s="139"/>
      <c r="Q61" s="177">
        <v>67.0</v>
      </c>
      <c r="R61" s="189">
        <v>34.0</v>
      </c>
      <c r="S61" s="177">
        <f t="shared" si="9"/>
        <v>0.66</v>
      </c>
      <c r="T61" s="160">
        <f t="shared" si="10"/>
        <v>1</v>
      </c>
      <c r="U61" s="160">
        <f t="shared" si="11"/>
        <v>0.66</v>
      </c>
      <c r="V61" s="190">
        <f t="shared" si="12"/>
        <v>44.377344</v>
      </c>
      <c r="W61" s="177">
        <f t="shared" ref="W61:X61" si="46">C61/100</f>
        <v>0.96</v>
      </c>
      <c r="X61" s="177">
        <f t="shared" si="46"/>
        <v>2.06</v>
      </c>
      <c r="Y61" s="177">
        <f t="shared" si="14"/>
        <v>0.66</v>
      </c>
      <c r="Z61" s="191">
        <f t="shared" si="15"/>
        <v>1.305216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2" t="s">
        <v>108</v>
      </c>
      <c r="C62" s="192">
        <v>97.0</v>
      </c>
      <c r="D62" s="192">
        <v>204.0</v>
      </c>
      <c r="E62" s="192">
        <v>2825.0</v>
      </c>
      <c r="F62" s="192">
        <f t="shared" si="5"/>
        <v>0</v>
      </c>
      <c r="G62" s="192">
        <f t="shared" si="6"/>
        <v>1900.6374</v>
      </c>
      <c r="H62" s="193">
        <f t="shared" si="7"/>
        <v>1900.6374</v>
      </c>
      <c r="I62" s="192">
        <v>1.0</v>
      </c>
      <c r="J62" s="194">
        <f t="shared" si="8"/>
        <v>1900.6374</v>
      </c>
      <c r="K62" s="139"/>
      <c r="L62" s="195"/>
      <c r="M62" s="196">
        <f t="shared" si="18"/>
        <v>1</v>
      </c>
      <c r="N62" s="196"/>
      <c r="O62" s="139"/>
      <c r="P62" s="139"/>
      <c r="Q62" s="177">
        <v>1860.0</v>
      </c>
      <c r="R62" s="189">
        <v>34.0</v>
      </c>
      <c r="S62" s="177">
        <f t="shared" si="9"/>
        <v>28.25</v>
      </c>
      <c r="T62" s="160">
        <f t="shared" si="10"/>
        <v>1</v>
      </c>
      <c r="U62" s="160">
        <f t="shared" si="11"/>
        <v>28.25</v>
      </c>
      <c r="V62" s="190">
        <f t="shared" si="12"/>
        <v>1900.6374</v>
      </c>
      <c r="W62" s="177">
        <f t="shared" ref="W62:X62" si="47">C62/100</f>
        <v>0.97</v>
      </c>
      <c r="X62" s="177">
        <f t="shared" si="47"/>
        <v>2.04</v>
      </c>
      <c r="Y62" s="177">
        <f t="shared" si="14"/>
        <v>28.25</v>
      </c>
      <c r="Z62" s="191">
        <f t="shared" si="15"/>
        <v>55.9011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2" t="s">
        <v>108</v>
      </c>
      <c r="C63" s="192">
        <v>95.0</v>
      </c>
      <c r="D63" s="192">
        <v>204.0</v>
      </c>
      <c r="E63" s="192">
        <v>2868.0</v>
      </c>
      <c r="F63" s="192">
        <f t="shared" si="5"/>
        <v>0</v>
      </c>
      <c r="G63" s="192">
        <f t="shared" si="6"/>
        <v>1889.78256</v>
      </c>
      <c r="H63" s="193">
        <f t="shared" si="7"/>
        <v>1889.78256</v>
      </c>
      <c r="I63" s="192">
        <v>1.0</v>
      </c>
      <c r="J63" s="194">
        <f t="shared" si="8"/>
        <v>1889.78256</v>
      </c>
      <c r="K63" s="139"/>
      <c r="L63" s="195"/>
      <c r="M63" s="196">
        <f t="shared" si="18"/>
        <v>1</v>
      </c>
      <c r="N63" s="196"/>
      <c r="O63" s="139"/>
      <c r="P63" s="139"/>
      <c r="Q63" s="177">
        <v>1895.0</v>
      </c>
      <c r="R63" s="189">
        <v>34.0</v>
      </c>
      <c r="S63" s="177">
        <f t="shared" si="9"/>
        <v>28.68</v>
      </c>
      <c r="T63" s="160">
        <f t="shared" si="10"/>
        <v>1</v>
      </c>
      <c r="U63" s="160">
        <f t="shared" si="11"/>
        <v>28.68</v>
      </c>
      <c r="V63" s="190">
        <f t="shared" si="12"/>
        <v>1889.78256</v>
      </c>
      <c r="W63" s="177">
        <f t="shared" ref="W63:X63" si="48">C63/100</f>
        <v>0.95</v>
      </c>
      <c r="X63" s="177">
        <f t="shared" si="48"/>
        <v>2.04</v>
      </c>
      <c r="Y63" s="177">
        <f t="shared" si="14"/>
        <v>28.68</v>
      </c>
      <c r="Z63" s="191">
        <f t="shared" si="15"/>
        <v>55.58184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82" t="s">
        <v>109</v>
      </c>
      <c r="C64" s="192">
        <v>78.0</v>
      </c>
      <c r="D64" s="192">
        <v>205.0</v>
      </c>
      <c r="E64" s="192">
        <v>182.0</v>
      </c>
      <c r="F64" s="192">
        <f t="shared" si="5"/>
        <v>0</v>
      </c>
      <c r="G64" s="192">
        <f t="shared" si="6"/>
        <v>53.83833</v>
      </c>
      <c r="H64" s="193">
        <f t="shared" si="7"/>
        <v>53.83833</v>
      </c>
      <c r="I64" s="192">
        <v>1.0</v>
      </c>
      <c r="J64" s="194">
        <f t="shared" si="8"/>
        <v>53.83833</v>
      </c>
      <c r="K64" s="139"/>
      <c r="L64" s="195"/>
      <c r="M64" s="196">
        <f t="shared" si="18"/>
        <v>1</v>
      </c>
      <c r="N64" s="196"/>
      <c r="O64" s="139"/>
      <c r="P64" s="139"/>
      <c r="Q64" s="177">
        <v>64.0</v>
      </c>
      <c r="R64" s="189">
        <v>18.5</v>
      </c>
      <c r="S64" s="177">
        <f t="shared" si="9"/>
        <v>1.82</v>
      </c>
      <c r="T64" s="160">
        <f t="shared" si="10"/>
        <v>1</v>
      </c>
      <c r="U64" s="160">
        <f t="shared" si="11"/>
        <v>1.82</v>
      </c>
      <c r="V64" s="190">
        <f t="shared" si="12"/>
        <v>53.83833</v>
      </c>
      <c r="W64" s="177">
        <f t="shared" ref="W64:X64" si="49">C64/100</f>
        <v>0.78</v>
      </c>
      <c r="X64" s="177">
        <f t="shared" si="49"/>
        <v>2.05</v>
      </c>
      <c r="Y64" s="177">
        <f t="shared" si="14"/>
        <v>1.82</v>
      </c>
      <c r="Z64" s="191">
        <f t="shared" si="15"/>
        <v>2.91018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2" t="s">
        <v>109</v>
      </c>
      <c r="C65" s="192">
        <v>80.0</v>
      </c>
      <c r="D65" s="192">
        <v>205.0</v>
      </c>
      <c r="E65" s="192">
        <v>218.0</v>
      </c>
      <c r="F65" s="192">
        <f t="shared" si="5"/>
        <v>0</v>
      </c>
      <c r="G65" s="192">
        <f t="shared" si="6"/>
        <v>66.1412</v>
      </c>
      <c r="H65" s="193">
        <f t="shared" si="7"/>
        <v>66.1412</v>
      </c>
      <c r="I65" s="192">
        <v>1.0</v>
      </c>
      <c r="J65" s="194">
        <f t="shared" si="8"/>
        <v>66.1412</v>
      </c>
      <c r="K65" s="139"/>
      <c r="L65" s="195"/>
      <c r="M65" s="196">
        <f t="shared" si="18"/>
        <v>1</v>
      </c>
      <c r="N65" s="196"/>
      <c r="O65" s="139"/>
      <c r="P65" s="139"/>
      <c r="Q65" s="177">
        <v>73.0</v>
      </c>
      <c r="R65" s="189">
        <v>18.5</v>
      </c>
      <c r="S65" s="177">
        <f t="shared" si="9"/>
        <v>2.18</v>
      </c>
      <c r="T65" s="160">
        <f t="shared" si="10"/>
        <v>1</v>
      </c>
      <c r="U65" s="160">
        <f t="shared" si="11"/>
        <v>2.18</v>
      </c>
      <c r="V65" s="190">
        <f t="shared" si="12"/>
        <v>66.1412</v>
      </c>
      <c r="W65" s="177">
        <f t="shared" ref="W65:X65" si="50">C65/100</f>
        <v>0.8</v>
      </c>
      <c r="X65" s="177">
        <f t="shared" si="50"/>
        <v>2.05</v>
      </c>
      <c r="Y65" s="177">
        <f t="shared" si="14"/>
        <v>2.18</v>
      </c>
      <c r="Z65" s="191">
        <f t="shared" si="15"/>
        <v>3.5752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82" t="s">
        <v>110</v>
      </c>
      <c r="C66" s="192">
        <v>78.0</v>
      </c>
      <c r="D66" s="192">
        <v>206.0</v>
      </c>
      <c r="E66" s="192">
        <v>208.0</v>
      </c>
      <c r="F66" s="192">
        <f t="shared" si="5"/>
        <v>0</v>
      </c>
      <c r="G66" s="192">
        <f t="shared" si="6"/>
        <v>75.19824</v>
      </c>
      <c r="H66" s="193">
        <f t="shared" si="7"/>
        <v>75.19824</v>
      </c>
      <c r="I66" s="192">
        <v>1.0</v>
      </c>
      <c r="J66" s="194">
        <f t="shared" si="8"/>
        <v>75.19824</v>
      </c>
      <c r="K66" s="139"/>
      <c r="L66" s="195"/>
      <c r="M66" s="196">
        <f t="shared" si="18"/>
        <v>1</v>
      </c>
      <c r="N66" s="196"/>
      <c r="O66" s="139"/>
      <c r="P66" s="139"/>
      <c r="Q66" s="177">
        <v>93.0</v>
      </c>
      <c r="R66" s="189">
        <v>22.5</v>
      </c>
      <c r="S66" s="177">
        <f t="shared" si="9"/>
        <v>2.08</v>
      </c>
      <c r="T66" s="160">
        <f t="shared" si="10"/>
        <v>1</v>
      </c>
      <c r="U66" s="160">
        <f t="shared" si="11"/>
        <v>2.08</v>
      </c>
      <c r="V66" s="190">
        <f t="shared" si="12"/>
        <v>75.19824</v>
      </c>
      <c r="W66" s="177">
        <f t="shared" ref="W66:X66" si="51">C66/100</f>
        <v>0.78</v>
      </c>
      <c r="X66" s="177">
        <f t="shared" si="51"/>
        <v>2.06</v>
      </c>
      <c r="Y66" s="177">
        <f t="shared" si="14"/>
        <v>2.08</v>
      </c>
      <c r="Z66" s="191">
        <f t="shared" si="15"/>
        <v>3.342144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77">
        <f t="shared" ref="L76:L77" si="62">D76*25.4/1000</f>
        <v>0</v>
      </c>
      <c r="M76" s="160" t="str">
        <f t="shared" ref="M76:M91" si="63">+I76</f>
        <v/>
      </c>
      <c r="N76" s="160">
        <f t="shared" ref="N76:N77" si="64">M76*L76</f>
        <v>0</v>
      </c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>
        <f t="shared" si="62"/>
        <v>0</v>
      </c>
      <c r="M77" s="196" t="str">
        <f t="shared" si="63"/>
        <v/>
      </c>
      <c r="N77" s="196">
        <f t="shared" si="64"/>
        <v>0</v>
      </c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3"/>
        <v/>
      </c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3"/>
        <v/>
      </c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3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3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3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3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3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3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3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3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3"/>
        <v/>
      </c>
      <c r="N88" s="196"/>
      <c r="O88" s="139"/>
      <c r="P88" s="139"/>
      <c r="Q88" s="177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199">
        <f t="shared" si="12"/>
        <v>0</v>
      </c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3"/>
        <v/>
      </c>
      <c r="N89" s="196"/>
      <c r="O89" s="139"/>
      <c r="P89" s="139"/>
      <c r="Q89" s="177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199">
        <f t="shared" si="12"/>
        <v>0</v>
      </c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3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3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198.0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199.0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200.0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201.0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202.0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203.0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204.0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205.0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206.0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207.0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208.0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209.0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210.0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211.0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212.0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213.0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214.0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215.0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216.0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217.0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60"/>
      <c r="B234" s="177"/>
      <c r="C234" s="177"/>
      <c r="D234" s="177"/>
      <c r="E234" s="177"/>
      <c r="F234" s="177"/>
      <c r="G234" s="177"/>
      <c r="H234" s="180"/>
      <c r="I234" s="160"/>
      <c r="J234" s="202">
        <f>+Q299</f>
        <v>123.6</v>
      </c>
      <c r="K234" s="139"/>
      <c r="L234" s="139"/>
      <c r="M234" s="139"/>
      <c r="N234" s="139"/>
      <c r="O234" s="139"/>
      <c r="P234" s="139"/>
      <c r="Q234" s="139"/>
      <c r="R234" s="203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60"/>
      <c r="B235" s="204"/>
      <c r="C235" s="204"/>
      <c r="D235" s="204"/>
      <c r="E235" s="204"/>
      <c r="F235" s="204"/>
      <c r="G235" s="204"/>
      <c r="H235" s="205"/>
      <c r="I235" s="206">
        <f>SUM(I32:I233)</f>
        <v>35</v>
      </c>
      <c r="J235" s="207">
        <f>SUM(J32:J234)</f>
        <v>30852.42275</v>
      </c>
      <c r="K235" s="208"/>
      <c r="L235" s="208"/>
      <c r="M235" s="208"/>
      <c r="N235" s="208"/>
      <c r="O235" s="208"/>
      <c r="P235" s="208"/>
      <c r="Q235" s="208"/>
      <c r="R235" s="141"/>
      <c r="S235" s="208">
        <f>SUMIFS($T$32:$T$233,$S$32:$S$233,"&gt;=3")</f>
        <v>21</v>
      </c>
      <c r="T235" s="208">
        <f t="shared" ref="T235:U235" si="223">SUM(T32:T233)</f>
        <v>35</v>
      </c>
      <c r="U235" s="208">
        <f t="shared" si="223"/>
        <v>621.95</v>
      </c>
      <c r="V235" s="208"/>
      <c r="W235" s="208"/>
      <c r="X235" s="208"/>
      <c r="Y235" s="208"/>
      <c r="Z235" s="209">
        <f>SUM(Z32:Z234)</f>
        <v>1273.706185</v>
      </c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201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203"/>
      <c r="S237" s="139"/>
      <c r="T237" s="139" t="s">
        <v>48</v>
      </c>
      <c r="U237" s="139" t="s">
        <v>59</v>
      </c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139" t="s">
        <v>31</v>
      </c>
      <c r="T238" s="210">
        <f>SUMIFS($J$32:$J$233,$S$32:$S$233,"&gt;=3")</f>
        <v>29822.07252</v>
      </c>
      <c r="U238" s="211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 t="s">
        <v>32</v>
      </c>
      <c r="B239" s="139"/>
      <c r="C239" s="139"/>
      <c r="D239" s="139" t="s">
        <v>33</v>
      </c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39" t="s">
        <v>34</v>
      </c>
      <c r="T239" s="212">
        <f>J235-T238</f>
        <v>1030.350225</v>
      </c>
      <c r="U239" s="211">
        <f>+SUMIFS($U$32:$U$233,$S$32:$S$233,"&gt;=3")</f>
        <v>601.76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03"/>
      <c r="S240" s="139"/>
      <c r="T240" s="213">
        <f>+I235</f>
        <v>35</v>
      </c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39.0" customHeight="1">
      <c r="A241" s="177"/>
      <c r="B241" s="160" t="s">
        <v>12</v>
      </c>
      <c r="C241" s="178" t="s">
        <v>60</v>
      </c>
      <c r="D241" s="52"/>
      <c r="E241" s="53"/>
      <c r="F241" s="179"/>
      <c r="G241" s="179"/>
      <c r="H241" s="180" t="s">
        <v>14</v>
      </c>
      <c r="I241" s="160" t="s">
        <v>15</v>
      </c>
      <c r="J241" s="160" t="s">
        <v>16</v>
      </c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1.0</v>
      </c>
      <c r="B242" s="214"/>
      <c r="C242" s="214"/>
      <c r="D242" s="214"/>
      <c r="E242" s="214"/>
      <c r="F242" s="214">
        <f t="shared" ref="F242:F255" si="224">1-VALUE(IF(RIGHT(B242, 1)="%", RIGHT(B242, 3), 0))</f>
        <v>1</v>
      </c>
      <c r="G242" s="214">
        <f t="shared" ref="G242:G255" si="225">+Q242*C242/100*D242/100*E242/100</f>
        <v>0</v>
      </c>
      <c r="H242" s="215">
        <f t="shared" ref="H242:H255" si="226">IF(F242=0, G242, F242*G242)</f>
        <v>0</v>
      </c>
      <c r="I242" s="214"/>
      <c r="J242" s="216"/>
      <c r="K242" s="139"/>
      <c r="L242" s="177">
        <f t="shared" ref="L242:L250" si="227">D242*25.4/1000</f>
        <v>0</v>
      </c>
      <c r="M242" s="160" t="str">
        <f t="shared" ref="M242:M246" si="228">+I242</f>
        <v/>
      </c>
      <c r="N242" s="160">
        <f t="shared" ref="N242:N246" si="229">M242*L242</f>
        <v>0</v>
      </c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2.0</v>
      </c>
      <c r="B243" s="214"/>
      <c r="C243" s="214"/>
      <c r="D243" s="214"/>
      <c r="E243" s="214"/>
      <c r="F243" s="214">
        <f t="shared" si="224"/>
        <v>1</v>
      </c>
      <c r="G243" s="214">
        <f t="shared" si="225"/>
        <v>0</v>
      </c>
      <c r="H243" s="215">
        <f t="shared" si="226"/>
        <v>0</v>
      </c>
      <c r="I243" s="214"/>
      <c r="J243" s="216">
        <f t="shared" ref="J243:J255" si="230">+I243*H243</f>
        <v>0</v>
      </c>
      <c r="K243" s="139"/>
      <c r="L243" s="177">
        <f t="shared" si="227"/>
        <v>0</v>
      </c>
      <c r="M243" s="160" t="str">
        <f t="shared" si="228"/>
        <v/>
      </c>
      <c r="N243" s="160">
        <f t="shared" si="229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3.0</v>
      </c>
      <c r="B244" s="217"/>
      <c r="C244" s="217"/>
      <c r="D244" s="217"/>
      <c r="E244" s="217"/>
      <c r="F244" s="217">
        <f t="shared" si="224"/>
        <v>1</v>
      </c>
      <c r="G244" s="217">
        <f t="shared" si="225"/>
        <v>0</v>
      </c>
      <c r="H244" s="218">
        <f t="shared" si="226"/>
        <v>0</v>
      </c>
      <c r="I244" s="217"/>
      <c r="J244" s="194">
        <f t="shared" si="230"/>
        <v>0</v>
      </c>
      <c r="K244" s="139"/>
      <c r="L244" s="177">
        <f t="shared" si="227"/>
        <v>0</v>
      </c>
      <c r="M244" s="160" t="str">
        <f t="shared" si="228"/>
        <v/>
      </c>
      <c r="N244" s="160">
        <f t="shared" si="229"/>
        <v>0</v>
      </c>
      <c r="O244" s="139"/>
      <c r="P244" s="139"/>
      <c r="Q244" s="139"/>
      <c r="R244" s="13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4.0</v>
      </c>
      <c r="B245" s="217"/>
      <c r="C245" s="217"/>
      <c r="D245" s="217"/>
      <c r="E245" s="217"/>
      <c r="F245" s="217">
        <f t="shared" si="224"/>
        <v>1</v>
      </c>
      <c r="G245" s="217">
        <f t="shared" si="225"/>
        <v>0</v>
      </c>
      <c r="H245" s="218">
        <f t="shared" si="226"/>
        <v>0</v>
      </c>
      <c r="I245" s="217"/>
      <c r="J245" s="194">
        <f t="shared" si="230"/>
        <v>0</v>
      </c>
      <c r="K245" s="139"/>
      <c r="L245" s="177">
        <f t="shared" si="227"/>
        <v>0</v>
      </c>
      <c r="M245" s="160" t="str">
        <f t="shared" si="228"/>
        <v/>
      </c>
      <c r="N245" s="160">
        <f t="shared" si="229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5.0</v>
      </c>
      <c r="B246" s="217"/>
      <c r="C246" s="217"/>
      <c r="D246" s="217"/>
      <c r="E246" s="217"/>
      <c r="F246" s="217">
        <f t="shared" si="224"/>
        <v>1</v>
      </c>
      <c r="G246" s="217">
        <f t="shared" si="225"/>
        <v>0</v>
      </c>
      <c r="H246" s="218">
        <f t="shared" si="226"/>
        <v>0</v>
      </c>
      <c r="I246" s="217"/>
      <c r="J246" s="194">
        <f t="shared" si="230"/>
        <v>0</v>
      </c>
      <c r="K246" s="139"/>
      <c r="L246" s="177">
        <f t="shared" si="227"/>
        <v>0</v>
      </c>
      <c r="M246" s="160" t="str">
        <f t="shared" si="228"/>
        <v/>
      </c>
      <c r="N246" s="160">
        <f t="shared" si="229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6.0</v>
      </c>
      <c r="B247" s="217"/>
      <c r="C247" s="217"/>
      <c r="D247" s="217"/>
      <c r="E247" s="217"/>
      <c r="F247" s="217">
        <f t="shared" si="224"/>
        <v>1</v>
      </c>
      <c r="G247" s="217">
        <f t="shared" si="225"/>
        <v>0</v>
      </c>
      <c r="H247" s="218">
        <f t="shared" si="226"/>
        <v>0</v>
      </c>
      <c r="I247" s="217"/>
      <c r="J247" s="194">
        <f t="shared" si="230"/>
        <v>0</v>
      </c>
      <c r="K247" s="139"/>
      <c r="L247" s="139">
        <f t="shared" si="227"/>
        <v>0</v>
      </c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7.0</v>
      </c>
      <c r="B248" s="217"/>
      <c r="C248" s="217"/>
      <c r="D248" s="217"/>
      <c r="E248" s="217"/>
      <c r="F248" s="217">
        <f t="shared" si="224"/>
        <v>1</v>
      </c>
      <c r="G248" s="217">
        <f t="shared" si="225"/>
        <v>0</v>
      </c>
      <c r="H248" s="218">
        <f t="shared" si="226"/>
        <v>0</v>
      </c>
      <c r="I248" s="217"/>
      <c r="J248" s="194">
        <f t="shared" si="230"/>
        <v>0</v>
      </c>
      <c r="K248" s="139"/>
      <c r="L248" s="139">
        <f t="shared" si="227"/>
        <v>0</v>
      </c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8.0</v>
      </c>
      <c r="B249" s="217"/>
      <c r="C249" s="217"/>
      <c r="D249" s="217"/>
      <c r="E249" s="217"/>
      <c r="F249" s="217">
        <f t="shared" si="224"/>
        <v>1</v>
      </c>
      <c r="G249" s="217">
        <f t="shared" si="225"/>
        <v>0</v>
      </c>
      <c r="H249" s="218">
        <f t="shared" si="226"/>
        <v>0</v>
      </c>
      <c r="I249" s="217"/>
      <c r="J249" s="194">
        <f t="shared" si="230"/>
        <v>0</v>
      </c>
      <c r="K249" s="139"/>
      <c r="L249" s="139">
        <f t="shared" si="227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9.0</v>
      </c>
      <c r="B250" s="217"/>
      <c r="C250" s="217"/>
      <c r="D250" s="217"/>
      <c r="E250" s="217"/>
      <c r="F250" s="217">
        <f t="shared" si="224"/>
        <v>1</v>
      </c>
      <c r="G250" s="217">
        <f t="shared" si="225"/>
        <v>0</v>
      </c>
      <c r="H250" s="218">
        <f t="shared" si="226"/>
        <v>0</v>
      </c>
      <c r="I250" s="217"/>
      <c r="J250" s="194">
        <f t="shared" si="230"/>
        <v>0</v>
      </c>
      <c r="K250" s="139"/>
      <c r="L250" s="139">
        <f t="shared" si="227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10.0</v>
      </c>
      <c r="B251" s="192"/>
      <c r="C251" s="192"/>
      <c r="D251" s="192"/>
      <c r="E251" s="192"/>
      <c r="F251" s="192">
        <f t="shared" si="224"/>
        <v>1</v>
      </c>
      <c r="G251" s="192">
        <f t="shared" si="225"/>
        <v>0</v>
      </c>
      <c r="H251" s="193">
        <f t="shared" si="226"/>
        <v>0</v>
      </c>
      <c r="I251" s="192"/>
      <c r="J251" s="194">
        <f t="shared" si="230"/>
        <v>0</v>
      </c>
      <c r="K251" s="139"/>
      <c r="L251" s="139"/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11.0</v>
      </c>
      <c r="B252" s="192"/>
      <c r="C252" s="192"/>
      <c r="D252" s="192"/>
      <c r="E252" s="192"/>
      <c r="F252" s="192">
        <f t="shared" si="224"/>
        <v>1</v>
      </c>
      <c r="G252" s="192">
        <f t="shared" si="225"/>
        <v>0</v>
      </c>
      <c r="H252" s="193">
        <f t="shared" si="226"/>
        <v>0</v>
      </c>
      <c r="I252" s="192"/>
      <c r="J252" s="194">
        <f t="shared" si="230"/>
        <v>0</v>
      </c>
      <c r="K252" s="139"/>
      <c r="L252" s="139"/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12.0</v>
      </c>
      <c r="B253" s="192"/>
      <c r="C253" s="192"/>
      <c r="D253" s="192"/>
      <c r="E253" s="192"/>
      <c r="F253" s="192">
        <f t="shared" si="224"/>
        <v>1</v>
      </c>
      <c r="G253" s="192">
        <f t="shared" si="225"/>
        <v>0</v>
      </c>
      <c r="H253" s="193">
        <f t="shared" si="226"/>
        <v>0</v>
      </c>
      <c r="I253" s="192"/>
      <c r="J253" s="194">
        <f t="shared" si="230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13.0</v>
      </c>
      <c r="B254" s="192"/>
      <c r="C254" s="192"/>
      <c r="D254" s="192"/>
      <c r="E254" s="192"/>
      <c r="F254" s="192">
        <f t="shared" si="224"/>
        <v>1</v>
      </c>
      <c r="G254" s="192">
        <f t="shared" si="225"/>
        <v>0</v>
      </c>
      <c r="H254" s="193">
        <f t="shared" si="226"/>
        <v>0</v>
      </c>
      <c r="I254" s="192"/>
      <c r="J254" s="194">
        <f t="shared" si="230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14.0</v>
      </c>
      <c r="B255" s="192"/>
      <c r="C255" s="192"/>
      <c r="D255" s="192"/>
      <c r="E255" s="192"/>
      <c r="F255" s="192">
        <f t="shared" si="224"/>
        <v>1</v>
      </c>
      <c r="G255" s="192">
        <f t="shared" si="225"/>
        <v>0</v>
      </c>
      <c r="H255" s="193">
        <f t="shared" si="226"/>
        <v>0</v>
      </c>
      <c r="I255" s="192"/>
      <c r="J255" s="194">
        <f t="shared" si="230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/>
      <c r="B256" s="195"/>
      <c r="C256" s="195"/>
      <c r="D256" s="195"/>
      <c r="E256" s="195"/>
      <c r="F256" s="195"/>
      <c r="G256" s="195"/>
      <c r="H256" s="221" t="s">
        <v>38</v>
      </c>
      <c r="I256" s="195"/>
      <c r="J256" s="222">
        <f>SUM(J242:J255)</f>
        <v>0</v>
      </c>
      <c r="K256" s="139"/>
      <c r="L256" s="139"/>
      <c r="M256" s="139"/>
      <c r="N256" s="139"/>
      <c r="O256" s="139"/>
      <c r="P256" s="139"/>
      <c r="Q256" s="139"/>
      <c r="R256" s="141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74"/>
      <c r="B257" s="144"/>
      <c r="C257" s="144"/>
      <c r="D257" s="144"/>
      <c r="E257" s="144"/>
      <c r="F257" s="144"/>
      <c r="G257" s="144"/>
      <c r="H257" s="145"/>
      <c r="I257" s="144"/>
      <c r="J257" s="175"/>
      <c r="K257" s="139"/>
      <c r="L257" s="139"/>
      <c r="M257" s="139"/>
      <c r="N257" s="139"/>
      <c r="O257" s="139"/>
      <c r="P257" s="139"/>
      <c r="Q257" s="139"/>
      <c r="R257" s="141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3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 t="s">
        <v>39</v>
      </c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223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42.0" customHeight="1">
      <c r="A262" s="177"/>
      <c r="B262" s="160" t="s">
        <v>12</v>
      </c>
      <c r="C262" s="178" t="s">
        <v>61</v>
      </c>
      <c r="D262" s="52"/>
      <c r="E262" s="53"/>
      <c r="F262" s="224"/>
      <c r="G262" s="224"/>
      <c r="H262" s="180" t="s">
        <v>14</v>
      </c>
      <c r="I262" s="225" t="s">
        <v>15</v>
      </c>
      <c r="J262" s="160" t="s">
        <v>16</v>
      </c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1.0</v>
      </c>
      <c r="B263" s="182" t="s">
        <v>63</v>
      </c>
      <c r="C263" s="198"/>
      <c r="D263" s="198"/>
      <c r="E263" s="198"/>
      <c r="F263" s="198"/>
      <c r="G263" s="198"/>
      <c r="H263" s="226">
        <v>38.0</v>
      </c>
      <c r="I263" s="198">
        <v>1.0</v>
      </c>
      <c r="J263" s="194">
        <f t="shared" ref="J263:J297" si="231">+I263*H263</f>
        <v>38</v>
      </c>
      <c r="K263" s="177"/>
      <c r="L263" s="177"/>
      <c r="M263" s="177"/>
      <c r="N263" s="177"/>
      <c r="O263" s="177"/>
      <c r="P263" s="177"/>
      <c r="Q263" s="227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7"/>
      <c r="AH263" s="177"/>
      <c r="AI263" s="177"/>
      <c r="AJ263" s="177"/>
      <c r="AK263" s="177"/>
    </row>
    <row r="264" ht="24.75" customHeight="1">
      <c r="A264" s="160">
        <v>2.0</v>
      </c>
      <c r="B264" s="192" t="s">
        <v>63</v>
      </c>
      <c r="C264" s="198"/>
      <c r="D264" s="198"/>
      <c r="E264" s="198"/>
      <c r="F264" s="198"/>
      <c r="G264" s="198"/>
      <c r="H264" s="226">
        <v>27.0</v>
      </c>
      <c r="I264" s="198">
        <v>1.0</v>
      </c>
      <c r="J264" s="194">
        <f t="shared" si="231"/>
        <v>27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7"/>
      <c r="AH264" s="177"/>
      <c r="AI264" s="177"/>
      <c r="AJ264" s="177"/>
      <c r="AK264" s="177"/>
    </row>
    <row r="265" ht="24.75" customHeight="1">
      <c r="A265" s="160">
        <v>3.0</v>
      </c>
      <c r="B265" s="182" t="s">
        <v>55</v>
      </c>
      <c r="C265" s="198"/>
      <c r="D265" s="198"/>
      <c r="E265" s="198"/>
      <c r="F265" s="198"/>
      <c r="G265" s="198"/>
      <c r="H265" s="226">
        <v>35.0</v>
      </c>
      <c r="I265" s="198">
        <v>1.0</v>
      </c>
      <c r="J265" s="194">
        <f t="shared" si="231"/>
        <v>35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7"/>
      <c r="AH265" s="177"/>
      <c r="AI265" s="177"/>
      <c r="AJ265" s="177"/>
      <c r="AK265" s="177"/>
    </row>
    <row r="266" ht="24.75" customHeight="1">
      <c r="A266" s="160">
        <v>4.0</v>
      </c>
      <c r="B266" s="192" t="s">
        <v>55</v>
      </c>
      <c r="C266" s="198"/>
      <c r="D266" s="198"/>
      <c r="E266" s="198"/>
      <c r="F266" s="198"/>
      <c r="G266" s="198"/>
      <c r="H266" s="226">
        <v>24.0</v>
      </c>
      <c r="I266" s="198">
        <v>1.0</v>
      </c>
      <c r="J266" s="194">
        <f t="shared" si="231"/>
        <v>24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7"/>
      <c r="AH266" s="177"/>
      <c r="AI266" s="177"/>
      <c r="AJ266" s="177"/>
      <c r="AK266" s="177"/>
    </row>
    <row r="267" ht="24.75" customHeight="1">
      <c r="A267" s="160">
        <v>5.0</v>
      </c>
      <c r="B267" s="182" t="s">
        <v>108</v>
      </c>
      <c r="C267" s="198"/>
      <c r="D267" s="198"/>
      <c r="E267" s="198"/>
      <c r="F267" s="198"/>
      <c r="G267" s="198"/>
      <c r="H267" s="226">
        <v>52.0</v>
      </c>
      <c r="I267" s="198">
        <v>1.0</v>
      </c>
      <c r="J267" s="194">
        <f t="shared" si="231"/>
        <v>52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7"/>
      <c r="AH267" s="177"/>
      <c r="AI267" s="177"/>
      <c r="AJ267" s="177"/>
      <c r="AK267" s="177"/>
    </row>
    <row r="268" ht="24.75" customHeight="1">
      <c r="A268" s="160">
        <v>6.0</v>
      </c>
      <c r="B268" s="192" t="s">
        <v>108</v>
      </c>
      <c r="C268" s="198"/>
      <c r="D268" s="198"/>
      <c r="E268" s="198"/>
      <c r="F268" s="198"/>
      <c r="G268" s="198"/>
      <c r="H268" s="226">
        <v>44.0</v>
      </c>
      <c r="I268" s="198">
        <v>1.0</v>
      </c>
      <c r="J268" s="194">
        <f t="shared" si="231"/>
        <v>44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7"/>
      <c r="AH268" s="177"/>
      <c r="AI268" s="177"/>
      <c r="AJ268" s="177"/>
      <c r="AK268" s="177"/>
    </row>
    <row r="269" ht="24.75" customHeight="1">
      <c r="A269" s="160">
        <v>7.0</v>
      </c>
      <c r="B269" s="182" t="s">
        <v>109</v>
      </c>
      <c r="C269" s="198"/>
      <c r="D269" s="198"/>
      <c r="E269" s="198"/>
      <c r="F269" s="198"/>
      <c r="G269" s="198"/>
      <c r="H269" s="226">
        <v>27.0</v>
      </c>
      <c r="I269" s="198">
        <v>1.0</v>
      </c>
      <c r="J269" s="194">
        <f t="shared" si="231"/>
        <v>27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7"/>
      <c r="AH269" s="177"/>
      <c r="AI269" s="177"/>
      <c r="AJ269" s="177"/>
      <c r="AK269" s="177"/>
    </row>
    <row r="270" ht="24.75" customHeight="1">
      <c r="A270" s="160">
        <v>8.0</v>
      </c>
      <c r="B270" s="192" t="s">
        <v>109</v>
      </c>
      <c r="C270" s="198"/>
      <c r="D270" s="198"/>
      <c r="E270" s="198"/>
      <c r="F270" s="198"/>
      <c r="G270" s="198"/>
      <c r="H270" s="226">
        <v>18.0</v>
      </c>
      <c r="I270" s="198">
        <v>1.0</v>
      </c>
      <c r="J270" s="194">
        <f t="shared" si="231"/>
        <v>18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7"/>
      <c r="AH270" s="177"/>
      <c r="AI270" s="177"/>
      <c r="AJ270" s="177"/>
      <c r="AK270" s="177"/>
    </row>
    <row r="271" ht="24.75" customHeight="1">
      <c r="A271" s="160">
        <v>9.0</v>
      </c>
      <c r="B271" s="182" t="s">
        <v>110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si="231"/>
        <v>29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7"/>
      <c r="AH271" s="177"/>
      <c r="AI271" s="177"/>
      <c r="AJ271" s="177"/>
      <c r="AK271" s="177"/>
    </row>
    <row r="272" ht="24.75" customHeight="1">
      <c r="A272" s="160">
        <v>10.0</v>
      </c>
      <c r="B272" s="228" t="s">
        <v>110</v>
      </c>
      <c r="C272" s="198"/>
      <c r="D272" s="198"/>
      <c r="E272" s="198"/>
      <c r="F272" s="198"/>
      <c r="G272" s="198"/>
      <c r="H272" s="226">
        <v>15.0</v>
      </c>
      <c r="I272" s="198">
        <v>1.0</v>
      </c>
      <c r="J272" s="194">
        <f t="shared" si="231"/>
        <v>15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7"/>
      <c r="AH272" s="177"/>
      <c r="AI272" s="177"/>
      <c r="AJ272" s="177"/>
      <c r="AK272" s="177"/>
    </row>
    <row r="273" ht="24.75" hidden="1" customHeight="1">
      <c r="A273" s="160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1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7"/>
      <c r="AH273" s="177"/>
      <c r="AI273" s="177"/>
      <c r="AJ273" s="177"/>
      <c r="AK273" s="177"/>
    </row>
    <row r="274" ht="24.75" hidden="1" customHeight="1">
      <c r="A274" s="160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1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7"/>
      <c r="AH274" s="177"/>
      <c r="AI274" s="177"/>
      <c r="AJ274" s="177"/>
      <c r="AK274" s="177"/>
    </row>
    <row r="275" ht="24.75" hidden="1" customHeight="1">
      <c r="A275" s="160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1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7"/>
      <c r="AH275" s="177"/>
      <c r="AI275" s="177"/>
      <c r="AJ275" s="177"/>
      <c r="AK275" s="177"/>
    </row>
    <row r="276" ht="24.75" hidden="1" customHeight="1">
      <c r="A276" s="160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1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7"/>
      <c r="AH276" s="177"/>
      <c r="AI276" s="177"/>
      <c r="AJ276" s="177"/>
      <c r="AK276" s="177"/>
    </row>
    <row r="277" ht="24.75" hidden="1" customHeight="1">
      <c r="A277" s="160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1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7"/>
      <c r="AH277" s="177"/>
      <c r="AI277" s="177"/>
      <c r="AJ277" s="177"/>
      <c r="AK277" s="177"/>
    </row>
    <row r="278" ht="24.75" hidden="1" customHeight="1">
      <c r="A278" s="160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1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7"/>
      <c r="AH278" s="177"/>
      <c r="AI278" s="177"/>
      <c r="AJ278" s="177"/>
      <c r="AK278" s="177"/>
    </row>
    <row r="279" ht="24.75" hidden="1" customHeight="1">
      <c r="A279" s="160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1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7"/>
      <c r="AH279" s="177"/>
      <c r="AI279" s="177"/>
      <c r="AJ279" s="177"/>
      <c r="AK279" s="177"/>
    </row>
    <row r="280" ht="24.75" hidden="1" customHeight="1">
      <c r="A280" s="160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1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7"/>
      <c r="AH280" s="177"/>
      <c r="AI280" s="177"/>
      <c r="AJ280" s="177"/>
      <c r="AK280" s="177"/>
    </row>
    <row r="281" ht="24.75" hidden="1" customHeight="1">
      <c r="A281" s="160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1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77"/>
      <c r="AH281" s="177"/>
      <c r="AI281" s="177"/>
      <c r="AJ281" s="177"/>
      <c r="AK281" s="177"/>
    </row>
    <row r="282" ht="24.75" hidden="1" customHeight="1">
      <c r="A282" s="160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1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1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1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1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1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1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1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1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1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1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1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1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7"/>
      <c r="C294" s="160"/>
      <c r="D294" s="160"/>
      <c r="E294" s="160"/>
      <c r="F294" s="160"/>
      <c r="G294" s="160"/>
      <c r="H294" s="160"/>
      <c r="I294" s="160"/>
      <c r="J294" s="194">
        <f t="shared" si="231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9"/>
      <c r="C295" s="160"/>
      <c r="D295" s="160"/>
      <c r="E295" s="160"/>
      <c r="F295" s="160"/>
      <c r="G295" s="160"/>
      <c r="H295" s="160"/>
      <c r="I295" s="160"/>
      <c r="J295" s="194">
        <f t="shared" si="231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30"/>
      <c r="C296" s="160"/>
      <c r="D296" s="160"/>
      <c r="E296" s="160"/>
      <c r="F296" s="160"/>
      <c r="G296" s="160"/>
      <c r="H296" s="160"/>
      <c r="I296" s="160"/>
      <c r="J296" s="194">
        <f t="shared" si="231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1"/>
      <c r="C297" s="160"/>
      <c r="D297" s="160"/>
      <c r="E297" s="160"/>
      <c r="F297" s="160"/>
      <c r="G297" s="160"/>
      <c r="H297" s="160"/>
      <c r="I297" s="160"/>
      <c r="J297" s="194">
        <f t="shared" si="231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SUM(J263:J297)</f>
        <v>309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4">
        <f>+J298*60%</f>
        <v>185.4</v>
      </c>
      <c r="K299" s="204"/>
      <c r="L299" s="204"/>
      <c r="M299" s="204"/>
      <c r="N299" s="204"/>
      <c r="O299" s="204"/>
      <c r="P299" s="204"/>
      <c r="Q299" s="204">
        <f>+J298*40%</f>
        <v>123.6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+E25</f>
        <v>34921.967</v>
      </c>
      <c r="C304" s="241">
        <f>+J235</f>
        <v>30852.42275</v>
      </c>
      <c r="D304" s="241">
        <f>+J256</f>
        <v>0</v>
      </c>
      <c r="E304" s="242">
        <f>J299</f>
        <v>185.4</v>
      </c>
      <c r="F304" s="242"/>
      <c r="G304" s="242"/>
      <c r="H304" s="243">
        <f>+I25</f>
        <v>2306.091097</v>
      </c>
      <c r="I304" s="244">
        <f>+B304-C304-D304-E304-H304</f>
        <v>1578.053158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0.8834674961</v>
      </c>
      <c r="D305" s="247">
        <f>+D304/B304</f>
        <v>0</v>
      </c>
      <c r="E305" s="247">
        <f>+E304/B304</f>
        <v>0.005308979302</v>
      </c>
      <c r="F305" s="247"/>
      <c r="G305" s="247"/>
      <c r="H305" s="248">
        <f>+H304/B304</f>
        <v>0.06603554424</v>
      </c>
      <c r="I305" s="249">
        <f>+I304/B304</f>
        <v>0.04518798032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4069.544255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0.1165325039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1:E241"/>
    <mergeCell ref="C262:E26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91</v>
      </c>
      <c r="C8" s="154">
        <v>22.5</v>
      </c>
      <c r="D8" s="155">
        <v>0.0737</v>
      </c>
      <c r="E8" s="156">
        <f>243.06*47.662</f>
        <v>11584.72572</v>
      </c>
      <c r="F8" s="156"/>
      <c r="G8" s="156"/>
      <c r="H8" s="157">
        <v>47.662</v>
      </c>
      <c r="I8" s="158">
        <f t="shared" ref="I8:I24" si="1">+D8*E8</f>
        <v>853.7942856</v>
      </c>
      <c r="J8" s="159">
        <f t="shared" ref="J8:J24" si="2">E8-I8</f>
        <v>10730.93143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91</v>
      </c>
      <c r="C9" s="154">
        <v>22.5</v>
      </c>
      <c r="D9" s="155">
        <v>0.0737</v>
      </c>
      <c r="E9" s="156">
        <f>261.03*3</f>
        <v>783.09</v>
      </c>
      <c r="F9" s="156"/>
      <c r="G9" s="156"/>
      <c r="H9" s="157">
        <v>3.0</v>
      </c>
      <c r="I9" s="158">
        <f t="shared" si="1"/>
        <v>57.713733</v>
      </c>
      <c r="J9" s="159">
        <f t="shared" si="2"/>
        <v>725.376267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91</v>
      </c>
      <c r="C10" s="154">
        <v>22.5</v>
      </c>
      <c r="D10" s="155">
        <v>0.0737</v>
      </c>
      <c r="E10" s="156">
        <f>252.01*1.7</f>
        <v>428.417</v>
      </c>
      <c r="F10" s="156"/>
      <c r="G10" s="156"/>
      <c r="H10" s="157">
        <v>1.7</v>
      </c>
      <c r="I10" s="158">
        <f t="shared" si="1"/>
        <v>31.5743329</v>
      </c>
      <c r="J10" s="159">
        <f t="shared" si="2"/>
        <v>396.8426671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91</v>
      </c>
      <c r="C11" s="154">
        <v>22.5</v>
      </c>
      <c r="D11" s="155">
        <v>0.0737</v>
      </c>
      <c r="E11" s="156">
        <f>252.01*14.7</f>
        <v>3704.547</v>
      </c>
      <c r="F11" s="156"/>
      <c r="G11" s="156"/>
      <c r="H11" s="157">
        <v>14.7</v>
      </c>
      <c r="I11" s="158">
        <f t="shared" si="1"/>
        <v>273.0251139</v>
      </c>
      <c r="J11" s="159">
        <f t="shared" si="2"/>
        <v>3431.521886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54" t="s">
        <v>91</v>
      </c>
      <c r="C12" s="154">
        <v>22.5</v>
      </c>
      <c r="D12" s="155">
        <v>0.0737</v>
      </c>
      <c r="E12" s="156">
        <f>252.01*4.9</f>
        <v>1234.849</v>
      </c>
      <c r="F12" s="156"/>
      <c r="G12" s="156"/>
      <c r="H12" s="157">
        <v>4.9</v>
      </c>
      <c r="I12" s="158">
        <f t="shared" si="1"/>
        <v>91.0083713</v>
      </c>
      <c r="J12" s="159">
        <f t="shared" si="2"/>
        <v>1143.840629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17735.62872</v>
      </c>
      <c r="F25" s="168"/>
      <c r="G25" s="168"/>
      <c r="H25" s="169"/>
      <c r="I25" s="170">
        <f t="shared" ref="I25:J25" si="3">SUM(I8:I24)</f>
        <v>1307.115837</v>
      </c>
      <c r="J25" s="171">
        <f t="shared" si="3"/>
        <v>16428.51288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91</v>
      </c>
      <c r="C32" s="183">
        <v>61.0</v>
      </c>
      <c r="D32" s="183">
        <v>204.0</v>
      </c>
      <c r="E32" s="183">
        <v>193.0</v>
      </c>
      <c r="F32" s="183">
        <f t="shared" ref="F32:F227" si="5">VALUE(IF(RIGHT(B32, 1)="%", RIGHT(B32, 3), 0))</f>
        <v>0</v>
      </c>
      <c r="G32" s="183">
        <f t="shared" ref="G32:G227" si="6">+R32*C32/100*D32/100*E32/100</f>
        <v>55.238916</v>
      </c>
      <c r="H32" s="184">
        <f t="shared" ref="H32:H227" si="7">IF(F32=0, G32, F32*G32)</f>
        <v>55.238916</v>
      </c>
      <c r="I32" s="183">
        <v>1.0</v>
      </c>
      <c r="J32" s="185">
        <f t="shared" ref="J32:J227" si="8">+I32*H32</f>
        <v>55.238916</v>
      </c>
      <c r="K32" s="186"/>
      <c r="L32" s="187">
        <f>D32*25.4/1000</f>
        <v>5.1816</v>
      </c>
      <c r="M32" s="188">
        <f>+I32</f>
        <v>1</v>
      </c>
      <c r="N32" s="188">
        <f>M32*L32</f>
        <v>5.1816</v>
      </c>
      <c r="O32" s="186"/>
      <c r="P32" s="186"/>
      <c r="Q32" s="187">
        <v>86.0</v>
      </c>
      <c r="R32" s="189">
        <v>23.0</v>
      </c>
      <c r="S32" s="177">
        <f t="shared" ref="S32:S228" si="9">E32/100</f>
        <v>1.93</v>
      </c>
      <c r="T32" s="160">
        <f t="shared" ref="T32:T228" si="10">I32</f>
        <v>1</v>
      </c>
      <c r="U32" s="160">
        <f t="shared" ref="U32:U228" si="11">T32*S32</f>
        <v>1.93</v>
      </c>
      <c r="V32" s="190">
        <f t="shared" ref="V32:V85" si="12">R32*C32/100*D32/100*E32/100</f>
        <v>55.238916</v>
      </c>
      <c r="W32" s="177">
        <f t="shared" ref="W32:X32" si="4">C32/100</f>
        <v>0.61</v>
      </c>
      <c r="X32" s="177">
        <f t="shared" si="4"/>
        <v>2.04</v>
      </c>
      <c r="Y32" s="177">
        <f t="shared" ref="Y32:Y228" si="14">U32</f>
        <v>1.93</v>
      </c>
      <c r="Z32" s="191">
        <f t="shared" ref="Z32:Z228" si="15">W32*X32*Y32</f>
        <v>2.401692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91</v>
      </c>
      <c r="C33" s="192">
        <v>105.0</v>
      </c>
      <c r="D33" s="192">
        <v>204.0</v>
      </c>
      <c r="E33" s="192">
        <v>78.0</v>
      </c>
      <c r="F33" s="192">
        <f t="shared" si="5"/>
        <v>0</v>
      </c>
      <c r="G33" s="192">
        <f t="shared" si="6"/>
        <v>38.42748</v>
      </c>
      <c r="H33" s="193">
        <f t="shared" si="7"/>
        <v>38.42748</v>
      </c>
      <c r="I33" s="192">
        <v>1.0</v>
      </c>
      <c r="J33" s="194">
        <f t="shared" si="8"/>
        <v>38.42748</v>
      </c>
      <c r="K33" s="139"/>
      <c r="L33" s="177"/>
      <c r="M33" s="160"/>
      <c r="N33" s="160"/>
      <c r="O33" s="139"/>
      <c r="P33" s="139"/>
      <c r="Q33" s="177">
        <v>55.0</v>
      </c>
      <c r="R33" s="189">
        <v>23.0</v>
      </c>
      <c r="S33" s="177">
        <f t="shared" si="9"/>
        <v>0.78</v>
      </c>
      <c r="T33" s="160">
        <f t="shared" si="10"/>
        <v>1</v>
      </c>
      <c r="U33" s="160">
        <f t="shared" si="11"/>
        <v>0.78</v>
      </c>
      <c r="V33" s="190">
        <f t="shared" si="12"/>
        <v>38.42748</v>
      </c>
      <c r="W33" s="177">
        <f t="shared" ref="W33:X33" si="13">C33/100</f>
        <v>1.05</v>
      </c>
      <c r="X33" s="177">
        <f t="shared" si="13"/>
        <v>2.04</v>
      </c>
      <c r="Y33" s="177">
        <f t="shared" si="14"/>
        <v>0.78</v>
      </c>
      <c r="Z33" s="191">
        <f t="shared" si="15"/>
        <v>1.67076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91</v>
      </c>
      <c r="C34" s="192">
        <v>105.0</v>
      </c>
      <c r="D34" s="192">
        <v>204.0</v>
      </c>
      <c r="E34" s="192">
        <v>68.0</v>
      </c>
      <c r="F34" s="192">
        <f t="shared" si="5"/>
        <v>0</v>
      </c>
      <c r="G34" s="192">
        <f t="shared" si="6"/>
        <v>33.50088</v>
      </c>
      <c r="H34" s="193">
        <f t="shared" si="7"/>
        <v>33.50088</v>
      </c>
      <c r="I34" s="192">
        <v>1.0</v>
      </c>
      <c r="J34" s="194">
        <f t="shared" si="8"/>
        <v>33.50088</v>
      </c>
      <c r="K34" s="139"/>
      <c r="L34" s="177">
        <f t="shared" ref="L34:L56" si="17">D34*25.4/1000</f>
        <v>5.1816</v>
      </c>
      <c r="M34" s="160">
        <f t="shared" ref="M34:M60" si="18">+I34</f>
        <v>1</v>
      </c>
      <c r="N34" s="160">
        <f t="shared" ref="N34:N56" si="19">M34*L34</f>
        <v>5.1816</v>
      </c>
      <c r="O34" s="139"/>
      <c r="P34" s="139"/>
      <c r="Q34" s="177">
        <v>50.0</v>
      </c>
      <c r="R34" s="189">
        <v>23.0</v>
      </c>
      <c r="S34" s="177">
        <f t="shared" si="9"/>
        <v>0.68</v>
      </c>
      <c r="T34" s="160">
        <f t="shared" si="10"/>
        <v>1</v>
      </c>
      <c r="U34" s="160">
        <f t="shared" si="11"/>
        <v>0.68</v>
      </c>
      <c r="V34" s="190">
        <f t="shared" si="12"/>
        <v>33.50088</v>
      </c>
      <c r="W34" s="177">
        <f t="shared" ref="W34:X34" si="16">C34/100</f>
        <v>1.05</v>
      </c>
      <c r="X34" s="177">
        <f t="shared" si="16"/>
        <v>2.04</v>
      </c>
      <c r="Y34" s="177">
        <f t="shared" si="14"/>
        <v>0.68</v>
      </c>
      <c r="Z34" s="191">
        <f t="shared" si="15"/>
        <v>1.45656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91</v>
      </c>
      <c r="C35" s="192">
        <v>94.0</v>
      </c>
      <c r="D35" s="192">
        <v>204.0</v>
      </c>
      <c r="E35" s="192">
        <v>199.0</v>
      </c>
      <c r="F35" s="192">
        <f t="shared" si="5"/>
        <v>0</v>
      </c>
      <c r="G35" s="192">
        <f t="shared" si="6"/>
        <v>87.768552</v>
      </c>
      <c r="H35" s="193">
        <f t="shared" si="7"/>
        <v>87.768552</v>
      </c>
      <c r="I35" s="192">
        <v>1.0</v>
      </c>
      <c r="J35" s="194">
        <f t="shared" si="8"/>
        <v>87.768552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106.0</v>
      </c>
      <c r="R35" s="189">
        <v>23.0</v>
      </c>
      <c r="S35" s="177">
        <f t="shared" si="9"/>
        <v>1.99</v>
      </c>
      <c r="T35" s="160">
        <f t="shared" si="10"/>
        <v>1</v>
      </c>
      <c r="U35" s="160">
        <f t="shared" si="11"/>
        <v>1.99</v>
      </c>
      <c r="V35" s="190">
        <f t="shared" si="12"/>
        <v>87.768552</v>
      </c>
      <c r="W35" s="177">
        <f t="shared" ref="W35:X35" si="20">C35/100</f>
        <v>0.94</v>
      </c>
      <c r="X35" s="177">
        <f t="shared" si="20"/>
        <v>2.04</v>
      </c>
      <c r="Y35" s="177">
        <f t="shared" si="14"/>
        <v>1.99</v>
      </c>
      <c r="Z35" s="191">
        <f t="shared" si="15"/>
        <v>3.816024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91</v>
      </c>
      <c r="C36" s="192">
        <v>88.0</v>
      </c>
      <c r="D36" s="192">
        <v>204.0</v>
      </c>
      <c r="E36" s="192">
        <v>207.0</v>
      </c>
      <c r="F36" s="192">
        <f t="shared" si="5"/>
        <v>0</v>
      </c>
      <c r="G36" s="192">
        <f t="shared" si="6"/>
        <v>85.469472</v>
      </c>
      <c r="H36" s="193">
        <f t="shared" si="7"/>
        <v>85.469472</v>
      </c>
      <c r="I36" s="192">
        <v>1.0</v>
      </c>
      <c r="J36" s="194">
        <f t="shared" si="8"/>
        <v>85.469472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101.0</v>
      </c>
      <c r="R36" s="189">
        <v>23.0</v>
      </c>
      <c r="S36" s="177">
        <f t="shared" si="9"/>
        <v>2.07</v>
      </c>
      <c r="T36" s="160">
        <f t="shared" si="10"/>
        <v>1</v>
      </c>
      <c r="U36" s="160">
        <f t="shared" si="11"/>
        <v>2.07</v>
      </c>
      <c r="V36" s="190">
        <f t="shared" si="12"/>
        <v>85.469472</v>
      </c>
      <c r="W36" s="177">
        <f t="shared" ref="W36:X36" si="21">C36/100</f>
        <v>0.88</v>
      </c>
      <c r="X36" s="177">
        <f t="shared" si="21"/>
        <v>2.04</v>
      </c>
      <c r="Y36" s="177">
        <f t="shared" si="14"/>
        <v>2.07</v>
      </c>
      <c r="Z36" s="191">
        <f t="shared" si="15"/>
        <v>3.716064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2" t="s">
        <v>91</v>
      </c>
      <c r="C37" s="192">
        <v>95.0</v>
      </c>
      <c r="D37" s="192">
        <v>204.0</v>
      </c>
      <c r="E37" s="192">
        <v>209.0</v>
      </c>
      <c r="F37" s="192">
        <f t="shared" si="5"/>
        <v>0</v>
      </c>
      <c r="G37" s="192">
        <f t="shared" si="6"/>
        <v>93.15966</v>
      </c>
      <c r="H37" s="193">
        <f t="shared" si="7"/>
        <v>93.15966</v>
      </c>
      <c r="I37" s="192">
        <v>1.0</v>
      </c>
      <c r="J37" s="194">
        <f t="shared" si="8"/>
        <v>93.15966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106.0</v>
      </c>
      <c r="R37" s="189">
        <v>23.0</v>
      </c>
      <c r="S37" s="177">
        <f t="shared" si="9"/>
        <v>2.09</v>
      </c>
      <c r="T37" s="160">
        <f t="shared" si="10"/>
        <v>1</v>
      </c>
      <c r="U37" s="160">
        <f t="shared" si="11"/>
        <v>2.09</v>
      </c>
      <c r="V37" s="190">
        <f t="shared" si="12"/>
        <v>93.15966</v>
      </c>
      <c r="W37" s="177">
        <f t="shared" ref="W37:X37" si="22">C37/100</f>
        <v>0.95</v>
      </c>
      <c r="X37" s="177">
        <f t="shared" si="22"/>
        <v>2.04</v>
      </c>
      <c r="Y37" s="177">
        <f t="shared" si="14"/>
        <v>2.09</v>
      </c>
      <c r="Z37" s="191">
        <f t="shared" si="15"/>
        <v>4.05042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91</v>
      </c>
      <c r="C38" s="192">
        <v>82.0</v>
      </c>
      <c r="D38" s="192">
        <v>204.0</v>
      </c>
      <c r="E38" s="192">
        <v>204.0</v>
      </c>
      <c r="F38" s="192">
        <f t="shared" si="5"/>
        <v>0</v>
      </c>
      <c r="G38" s="192">
        <f t="shared" si="6"/>
        <v>78.487776</v>
      </c>
      <c r="H38" s="193">
        <f t="shared" si="7"/>
        <v>78.487776</v>
      </c>
      <c r="I38" s="192">
        <v>1.0</v>
      </c>
      <c r="J38" s="194">
        <f t="shared" si="8"/>
        <v>78.487776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101.0</v>
      </c>
      <c r="R38" s="189">
        <v>23.0</v>
      </c>
      <c r="S38" s="177">
        <f t="shared" si="9"/>
        <v>2.04</v>
      </c>
      <c r="T38" s="160">
        <f t="shared" si="10"/>
        <v>1</v>
      </c>
      <c r="U38" s="160">
        <f t="shared" si="11"/>
        <v>2.04</v>
      </c>
      <c r="V38" s="190">
        <f t="shared" si="12"/>
        <v>78.487776</v>
      </c>
      <c r="W38" s="177">
        <f t="shared" ref="W38:X38" si="23">C38/100</f>
        <v>0.82</v>
      </c>
      <c r="X38" s="177">
        <f t="shared" si="23"/>
        <v>2.04</v>
      </c>
      <c r="Y38" s="177">
        <f t="shared" si="14"/>
        <v>2.04</v>
      </c>
      <c r="Z38" s="191">
        <f t="shared" si="15"/>
        <v>3.412512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91</v>
      </c>
      <c r="C39" s="192">
        <v>85.0</v>
      </c>
      <c r="D39" s="192">
        <v>204.0</v>
      </c>
      <c r="E39" s="192">
        <v>180.0</v>
      </c>
      <c r="F39" s="192">
        <f t="shared" si="5"/>
        <v>0</v>
      </c>
      <c r="G39" s="192">
        <f t="shared" si="6"/>
        <v>71.7876</v>
      </c>
      <c r="H39" s="193">
        <f t="shared" si="7"/>
        <v>71.7876</v>
      </c>
      <c r="I39" s="192">
        <v>1.0</v>
      </c>
      <c r="J39" s="194">
        <f t="shared" si="8"/>
        <v>71.7876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86.0</v>
      </c>
      <c r="R39" s="189">
        <v>23.0</v>
      </c>
      <c r="S39" s="177">
        <f t="shared" si="9"/>
        <v>1.8</v>
      </c>
      <c r="T39" s="160">
        <f t="shared" si="10"/>
        <v>1</v>
      </c>
      <c r="U39" s="160">
        <f t="shared" si="11"/>
        <v>1.8</v>
      </c>
      <c r="V39" s="190">
        <f t="shared" si="12"/>
        <v>71.7876</v>
      </c>
      <c r="W39" s="177">
        <f t="shared" ref="W39:X39" si="24">C39/100</f>
        <v>0.85</v>
      </c>
      <c r="X39" s="177">
        <f t="shared" si="24"/>
        <v>2.04</v>
      </c>
      <c r="Y39" s="177">
        <f t="shared" si="14"/>
        <v>1.8</v>
      </c>
      <c r="Z39" s="191">
        <f t="shared" si="15"/>
        <v>3.1212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91</v>
      </c>
      <c r="C40" s="192">
        <v>80.0</v>
      </c>
      <c r="D40" s="192">
        <v>204.0</v>
      </c>
      <c r="E40" s="192">
        <v>137.0</v>
      </c>
      <c r="F40" s="192">
        <f t="shared" si="5"/>
        <v>0</v>
      </c>
      <c r="G40" s="192">
        <f t="shared" si="6"/>
        <v>51.42432</v>
      </c>
      <c r="H40" s="193">
        <f t="shared" si="7"/>
        <v>51.42432</v>
      </c>
      <c r="I40" s="192">
        <v>1.0</v>
      </c>
      <c r="J40" s="194">
        <f t="shared" si="8"/>
        <v>51.42432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63.0</v>
      </c>
      <c r="R40" s="189">
        <v>23.0</v>
      </c>
      <c r="S40" s="177">
        <f t="shared" si="9"/>
        <v>1.37</v>
      </c>
      <c r="T40" s="160">
        <f t="shared" si="10"/>
        <v>1</v>
      </c>
      <c r="U40" s="160">
        <f t="shared" si="11"/>
        <v>1.37</v>
      </c>
      <c r="V40" s="190">
        <f t="shared" si="12"/>
        <v>51.42432</v>
      </c>
      <c r="W40" s="177">
        <f t="shared" ref="W40:X40" si="25">C40/100</f>
        <v>0.8</v>
      </c>
      <c r="X40" s="177">
        <f t="shared" si="25"/>
        <v>2.04</v>
      </c>
      <c r="Y40" s="177">
        <f t="shared" si="14"/>
        <v>1.37</v>
      </c>
      <c r="Z40" s="191">
        <f t="shared" si="15"/>
        <v>2.23584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2" t="s">
        <v>91</v>
      </c>
      <c r="C41" s="192">
        <v>97.0</v>
      </c>
      <c r="D41" s="192">
        <v>204.0</v>
      </c>
      <c r="E41" s="192">
        <v>197.0</v>
      </c>
      <c r="F41" s="192">
        <f t="shared" si="5"/>
        <v>0</v>
      </c>
      <c r="G41" s="192">
        <f t="shared" si="6"/>
        <v>89.659428</v>
      </c>
      <c r="H41" s="193">
        <f t="shared" si="7"/>
        <v>89.659428</v>
      </c>
      <c r="I41" s="192">
        <v>1.0</v>
      </c>
      <c r="J41" s="194">
        <f t="shared" si="8"/>
        <v>89.659428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96.0</v>
      </c>
      <c r="R41" s="189">
        <v>23.0</v>
      </c>
      <c r="S41" s="177">
        <f t="shared" si="9"/>
        <v>1.97</v>
      </c>
      <c r="T41" s="160">
        <f t="shared" si="10"/>
        <v>1</v>
      </c>
      <c r="U41" s="160">
        <f t="shared" si="11"/>
        <v>1.97</v>
      </c>
      <c r="V41" s="190">
        <f t="shared" si="12"/>
        <v>89.659428</v>
      </c>
      <c r="W41" s="177">
        <f t="shared" ref="W41:X41" si="26">C41/100</f>
        <v>0.97</v>
      </c>
      <c r="X41" s="177">
        <f t="shared" si="26"/>
        <v>2.04</v>
      </c>
      <c r="Y41" s="177">
        <f t="shared" si="14"/>
        <v>1.97</v>
      </c>
      <c r="Z41" s="191">
        <f t="shared" si="15"/>
        <v>3.898236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91</v>
      </c>
      <c r="C42" s="192">
        <v>94.0</v>
      </c>
      <c r="D42" s="192">
        <v>204.0</v>
      </c>
      <c r="E42" s="192">
        <v>184.0</v>
      </c>
      <c r="F42" s="192">
        <f t="shared" si="5"/>
        <v>0</v>
      </c>
      <c r="G42" s="192">
        <f t="shared" si="6"/>
        <v>81.152832</v>
      </c>
      <c r="H42" s="193">
        <f t="shared" si="7"/>
        <v>81.152832</v>
      </c>
      <c r="I42" s="192">
        <v>1.0</v>
      </c>
      <c r="J42" s="194">
        <f t="shared" si="8"/>
        <v>81.152832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90.0</v>
      </c>
      <c r="R42" s="189">
        <v>23.0</v>
      </c>
      <c r="S42" s="177">
        <f t="shared" si="9"/>
        <v>1.84</v>
      </c>
      <c r="T42" s="160">
        <f t="shared" si="10"/>
        <v>1</v>
      </c>
      <c r="U42" s="160">
        <f t="shared" si="11"/>
        <v>1.84</v>
      </c>
      <c r="V42" s="190">
        <f t="shared" si="12"/>
        <v>81.152832</v>
      </c>
      <c r="W42" s="177">
        <f t="shared" ref="W42:X42" si="27">C42/100</f>
        <v>0.94</v>
      </c>
      <c r="X42" s="177">
        <f t="shared" si="27"/>
        <v>2.04</v>
      </c>
      <c r="Y42" s="177">
        <f t="shared" si="14"/>
        <v>1.84</v>
      </c>
      <c r="Z42" s="191">
        <f t="shared" si="15"/>
        <v>3.528384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91</v>
      </c>
      <c r="C43" s="192">
        <v>74.0</v>
      </c>
      <c r="D43" s="192">
        <v>204.0</v>
      </c>
      <c r="E43" s="192">
        <v>193.0</v>
      </c>
      <c r="F43" s="192">
        <f t="shared" si="5"/>
        <v>0</v>
      </c>
      <c r="G43" s="192">
        <f t="shared" si="6"/>
        <v>67.011144</v>
      </c>
      <c r="H43" s="193">
        <f t="shared" si="7"/>
        <v>67.011144</v>
      </c>
      <c r="I43" s="192">
        <v>1.0</v>
      </c>
      <c r="J43" s="194">
        <f t="shared" si="8"/>
        <v>67.011144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88.0</v>
      </c>
      <c r="R43" s="189">
        <v>23.0</v>
      </c>
      <c r="S43" s="177">
        <f t="shared" si="9"/>
        <v>1.93</v>
      </c>
      <c r="T43" s="160">
        <f t="shared" si="10"/>
        <v>1</v>
      </c>
      <c r="U43" s="160">
        <f t="shared" si="11"/>
        <v>1.93</v>
      </c>
      <c r="V43" s="190">
        <f t="shared" si="12"/>
        <v>67.011144</v>
      </c>
      <c r="W43" s="177">
        <f t="shared" ref="W43:X43" si="28">C43/100</f>
        <v>0.74</v>
      </c>
      <c r="X43" s="177">
        <f t="shared" si="28"/>
        <v>2.04</v>
      </c>
      <c r="Y43" s="177">
        <f t="shared" si="14"/>
        <v>1.93</v>
      </c>
      <c r="Z43" s="191">
        <f t="shared" si="15"/>
        <v>2.913528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91</v>
      </c>
      <c r="C44" s="192">
        <v>81.0</v>
      </c>
      <c r="D44" s="192">
        <v>204.0</v>
      </c>
      <c r="E44" s="192">
        <v>182.0</v>
      </c>
      <c r="F44" s="192">
        <f t="shared" si="5"/>
        <v>0</v>
      </c>
      <c r="G44" s="192">
        <f t="shared" si="6"/>
        <v>69.169464</v>
      </c>
      <c r="H44" s="193">
        <f t="shared" si="7"/>
        <v>69.169464</v>
      </c>
      <c r="I44" s="192">
        <v>1.0</v>
      </c>
      <c r="J44" s="194">
        <f t="shared" si="8"/>
        <v>69.169464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85.0</v>
      </c>
      <c r="R44" s="189">
        <v>23.0</v>
      </c>
      <c r="S44" s="177">
        <f t="shared" si="9"/>
        <v>1.82</v>
      </c>
      <c r="T44" s="160">
        <f t="shared" si="10"/>
        <v>1</v>
      </c>
      <c r="U44" s="160">
        <f t="shared" si="11"/>
        <v>1.82</v>
      </c>
      <c r="V44" s="190">
        <f t="shared" si="12"/>
        <v>69.169464</v>
      </c>
      <c r="W44" s="177">
        <f t="shared" ref="W44:X44" si="29">C44/100</f>
        <v>0.81</v>
      </c>
      <c r="X44" s="177">
        <f t="shared" si="29"/>
        <v>2.04</v>
      </c>
      <c r="Y44" s="177">
        <f t="shared" si="14"/>
        <v>1.82</v>
      </c>
      <c r="Z44" s="191">
        <f t="shared" si="15"/>
        <v>3.007368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91</v>
      </c>
      <c r="C45" s="192">
        <v>99.0</v>
      </c>
      <c r="D45" s="192">
        <v>204.0</v>
      </c>
      <c r="E45" s="192">
        <v>206.0</v>
      </c>
      <c r="F45" s="192">
        <f t="shared" si="5"/>
        <v>0</v>
      </c>
      <c r="G45" s="192">
        <f t="shared" si="6"/>
        <v>95.688648</v>
      </c>
      <c r="H45" s="193">
        <f t="shared" si="7"/>
        <v>95.688648</v>
      </c>
      <c r="I45" s="192">
        <v>1.0</v>
      </c>
      <c r="J45" s="194">
        <f t="shared" si="8"/>
        <v>95.688648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109.0</v>
      </c>
      <c r="R45" s="189">
        <v>23.0</v>
      </c>
      <c r="S45" s="177">
        <f t="shared" si="9"/>
        <v>2.06</v>
      </c>
      <c r="T45" s="160">
        <f t="shared" si="10"/>
        <v>1</v>
      </c>
      <c r="U45" s="160">
        <f t="shared" si="11"/>
        <v>2.06</v>
      </c>
      <c r="V45" s="190">
        <f t="shared" si="12"/>
        <v>95.688648</v>
      </c>
      <c r="W45" s="177">
        <f t="shared" ref="W45:X45" si="30">C45/100</f>
        <v>0.99</v>
      </c>
      <c r="X45" s="177">
        <f t="shared" si="30"/>
        <v>2.04</v>
      </c>
      <c r="Y45" s="177">
        <f t="shared" si="14"/>
        <v>2.06</v>
      </c>
      <c r="Z45" s="191">
        <f t="shared" si="15"/>
        <v>4.160376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91</v>
      </c>
      <c r="C46" s="192">
        <v>76.0</v>
      </c>
      <c r="D46" s="192">
        <v>204.0</v>
      </c>
      <c r="E46" s="192">
        <v>143.0</v>
      </c>
      <c r="F46" s="192">
        <f t="shared" si="5"/>
        <v>0</v>
      </c>
      <c r="G46" s="192">
        <f t="shared" si="6"/>
        <v>50.992656</v>
      </c>
      <c r="H46" s="193">
        <f t="shared" si="7"/>
        <v>50.992656</v>
      </c>
      <c r="I46" s="192">
        <v>1.0</v>
      </c>
      <c r="J46" s="194">
        <f t="shared" si="8"/>
        <v>50.992656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72.0</v>
      </c>
      <c r="R46" s="189">
        <v>23.0</v>
      </c>
      <c r="S46" s="177">
        <f t="shared" si="9"/>
        <v>1.43</v>
      </c>
      <c r="T46" s="160">
        <f t="shared" si="10"/>
        <v>1</v>
      </c>
      <c r="U46" s="160">
        <f t="shared" si="11"/>
        <v>1.43</v>
      </c>
      <c r="V46" s="190">
        <f t="shared" si="12"/>
        <v>50.992656</v>
      </c>
      <c r="W46" s="177">
        <f t="shared" ref="W46:X46" si="31">C46/100</f>
        <v>0.76</v>
      </c>
      <c r="X46" s="177">
        <f t="shared" si="31"/>
        <v>2.04</v>
      </c>
      <c r="Y46" s="177">
        <f t="shared" si="14"/>
        <v>1.43</v>
      </c>
      <c r="Z46" s="191">
        <f t="shared" si="15"/>
        <v>2.217072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91</v>
      </c>
      <c r="C47" s="192">
        <v>68.0</v>
      </c>
      <c r="D47" s="192">
        <v>204.0</v>
      </c>
      <c r="E47" s="192">
        <v>194.0</v>
      </c>
      <c r="F47" s="192">
        <f t="shared" si="5"/>
        <v>0</v>
      </c>
      <c r="G47" s="192">
        <f t="shared" si="6"/>
        <v>61.896864</v>
      </c>
      <c r="H47" s="193">
        <f t="shared" si="7"/>
        <v>61.896864</v>
      </c>
      <c r="I47" s="192">
        <v>1.0</v>
      </c>
      <c r="J47" s="194">
        <f t="shared" si="8"/>
        <v>61.896864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82.0</v>
      </c>
      <c r="R47" s="189">
        <v>23.0</v>
      </c>
      <c r="S47" s="177">
        <f t="shared" si="9"/>
        <v>1.94</v>
      </c>
      <c r="T47" s="160">
        <f t="shared" si="10"/>
        <v>1</v>
      </c>
      <c r="U47" s="160">
        <f t="shared" si="11"/>
        <v>1.94</v>
      </c>
      <c r="V47" s="190">
        <f t="shared" si="12"/>
        <v>61.896864</v>
      </c>
      <c r="W47" s="177">
        <f t="shared" ref="W47:X47" si="32">C47/100</f>
        <v>0.68</v>
      </c>
      <c r="X47" s="177">
        <f t="shared" si="32"/>
        <v>2.04</v>
      </c>
      <c r="Y47" s="177">
        <f t="shared" si="14"/>
        <v>1.94</v>
      </c>
      <c r="Z47" s="191">
        <f t="shared" si="15"/>
        <v>2.691168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91</v>
      </c>
      <c r="C48" s="192">
        <v>87.0</v>
      </c>
      <c r="D48" s="192">
        <v>204.0</v>
      </c>
      <c r="E48" s="192">
        <v>80.0</v>
      </c>
      <c r="F48" s="192">
        <f t="shared" si="5"/>
        <v>0</v>
      </c>
      <c r="G48" s="192">
        <f t="shared" si="6"/>
        <v>32.65632</v>
      </c>
      <c r="H48" s="193">
        <f t="shared" si="7"/>
        <v>32.65632</v>
      </c>
      <c r="I48" s="192">
        <v>1.0</v>
      </c>
      <c r="J48" s="194">
        <f t="shared" si="8"/>
        <v>32.65632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42.0</v>
      </c>
      <c r="R48" s="189">
        <v>23.0</v>
      </c>
      <c r="S48" s="177">
        <f t="shared" si="9"/>
        <v>0.8</v>
      </c>
      <c r="T48" s="160">
        <f t="shared" si="10"/>
        <v>1</v>
      </c>
      <c r="U48" s="160">
        <f t="shared" si="11"/>
        <v>0.8</v>
      </c>
      <c r="V48" s="190">
        <f t="shared" si="12"/>
        <v>32.65632</v>
      </c>
      <c r="W48" s="177">
        <f t="shared" ref="W48:X48" si="33">C48/100</f>
        <v>0.87</v>
      </c>
      <c r="X48" s="177">
        <f t="shared" si="33"/>
        <v>2.04</v>
      </c>
      <c r="Y48" s="177">
        <f t="shared" si="14"/>
        <v>0.8</v>
      </c>
      <c r="Z48" s="191">
        <f t="shared" si="15"/>
        <v>1.41984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91</v>
      </c>
      <c r="C49" s="192">
        <v>74.0</v>
      </c>
      <c r="D49" s="192">
        <v>204.0</v>
      </c>
      <c r="E49" s="192">
        <v>97.0</v>
      </c>
      <c r="F49" s="192">
        <f t="shared" si="5"/>
        <v>0</v>
      </c>
      <c r="G49" s="192">
        <f t="shared" si="6"/>
        <v>33.679176</v>
      </c>
      <c r="H49" s="193">
        <f t="shared" si="7"/>
        <v>33.679176</v>
      </c>
      <c r="I49" s="192">
        <v>1.0</v>
      </c>
      <c r="J49" s="194">
        <f t="shared" si="8"/>
        <v>33.679176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43.0</v>
      </c>
      <c r="R49" s="189">
        <v>23.0</v>
      </c>
      <c r="S49" s="177">
        <f t="shared" si="9"/>
        <v>0.97</v>
      </c>
      <c r="T49" s="160">
        <f t="shared" si="10"/>
        <v>1</v>
      </c>
      <c r="U49" s="160">
        <f t="shared" si="11"/>
        <v>0.97</v>
      </c>
      <c r="V49" s="190">
        <f t="shared" si="12"/>
        <v>33.679176</v>
      </c>
      <c r="W49" s="177">
        <f t="shared" ref="W49:X49" si="34">C49/100</f>
        <v>0.74</v>
      </c>
      <c r="X49" s="177">
        <f t="shared" si="34"/>
        <v>2.04</v>
      </c>
      <c r="Y49" s="177">
        <f t="shared" si="14"/>
        <v>0.97</v>
      </c>
      <c r="Z49" s="191">
        <f t="shared" si="15"/>
        <v>1.464312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91</v>
      </c>
      <c r="C50" s="192">
        <v>106.0</v>
      </c>
      <c r="D50" s="192">
        <v>205.0</v>
      </c>
      <c r="E50" s="192">
        <v>2870.0</v>
      </c>
      <c r="F50" s="192">
        <f t="shared" si="5"/>
        <v>0</v>
      </c>
      <c r="G50" s="192">
        <f t="shared" si="6"/>
        <v>1434.3973</v>
      </c>
      <c r="H50" s="193">
        <f t="shared" si="7"/>
        <v>1434.3973</v>
      </c>
      <c r="I50" s="192">
        <v>1.0</v>
      </c>
      <c r="J50" s="194">
        <f t="shared" si="8"/>
        <v>1434.3973</v>
      </c>
      <c r="K50" s="139"/>
      <c r="L50" s="177">
        <f t="shared" si="17"/>
        <v>5.207</v>
      </c>
      <c r="M50" s="160">
        <f t="shared" si="18"/>
        <v>1</v>
      </c>
      <c r="N50" s="160">
        <f t="shared" si="19"/>
        <v>5.207</v>
      </c>
      <c r="O50" s="139"/>
      <c r="P50" s="139"/>
      <c r="Q50" s="177">
        <v>1480.0</v>
      </c>
      <c r="R50" s="189">
        <v>23.0</v>
      </c>
      <c r="S50" s="177">
        <f t="shared" si="9"/>
        <v>28.7</v>
      </c>
      <c r="T50" s="160">
        <f t="shared" si="10"/>
        <v>1</v>
      </c>
      <c r="U50" s="160">
        <f t="shared" si="11"/>
        <v>28.7</v>
      </c>
      <c r="V50" s="190">
        <f t="shared" si="12"/>
        <v>1434.3973</v>
      </c>
      <c r="W50" s="177">
        <f t="shared" ref="W50:X50" si="35">C50/100</f>
        <v>1.06</v>
      </c>
      <c r="X50" s="177">
        <f t="shared" si="35"/>
        <v>2.05</v>
      </c>
      <c r="Y50" s="177">
        <f t="shared" si="14"/>
        <v>28.7</v>
      </c>
      <c r="Z50" s="191">
        <f t="shared" si="15"/>
        <v>62.3651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2" t="s">
        <v>91</v>
      </c>
      <c r="C51" s="192">
        <v>106.0</v>
      </c>
      <c r="D51" s="192">
        <v>205.0</v>
      </c>
      <c r="E51" s="192">
        <v>2867.0</v>
      </c>
      <c r="F51" s="192">
        <f t="shared" si="5"/>
        <v>0</v>
      </c>
      <c r="G51" s="192">
        <f t="shared" si="6"/>
        <v>1432.89793</v>
      </c>
      <c r="H51" s="193">
        <f t="shared" si="7"/>
        <v>1432.89793</v>
      </c>
      <c r="I51" s="192">
        <v>1.0</v>
      </c>
      <c r="J51" s="194">
        <f t="shared" si="8"/>
        <v>1432.89793</v>
      </c>
      <c r="K51" s="139"/>
      <c r="L51" s="177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7">
        <v>1460.0</v>
      </c>
      <c r="R51" s="189">
        <v>23.0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1432.89793</v>
      </c>
      <c r="W51" s="177">
        <f t="shared" ref="W51:X51" si="36">C51/100</f>
        <v>1.06</v>
      </c>
      <c r="X51" s="177">
        <f t="shared" si="36"/>
        <v>2.05</v>
      </c>
      <c r="Y51" s="177">
        <f t="shared" si="14"/>
        <v>28.67</v>
      </c>
      <c r="Z51" s="191">
        <f t="shared" si="15"/>
        <v>62.29991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91</v>
      </c>
      <c r="C52" s="192">
        <v>107.0</v>
      </c>
      <c r="D52" s="192">
        <v>205.0</v>
      </c>
      <c r="E52" s="192">
        <v>2866.0</v>
      </c>
      <c r="F52" s="192">
        <f t="shared" si="5"/>
        <v>0</v>
      </c>
      <c r="G52" s="192">
        <f t="shared" si="6"/>
        <v>1445.91133</v>
      </c>
      <c r="H52" s="193">
        <f t="shared" si="7"/>
        <v>1445.91133</v>
      </c>
      <c r="I52" s="192">
        <v>1.0</v>
      </c>
      <c r="J52" s="194">
        <f t="shared" si="8"/>
        <v>1445.91133</v>
      </c>
      <c r="K52" s="139"/>
      <c r="L52" s="177">
        <f t="shared" si="17"/>
        <v>5.207</v>
      </c>
      <c r="M52" s="160">
        <f t="shared" si="18"/>
        <v>1</v>
      </c>
      <c r="N52" s="160">
        <f t="shared" si="19"/>
        <v>5.207</v>
      </c>
      <c r="O52" s="139"/>
      <c r="P52" s="139"/>
      <c r="Q52" s="177">
        <v>1470.0</v>
      </c>
      <c r="R52" s="189">
        <v>23.0</v>
      </c>
      <c r="S52" s="177">
        <f t="shared" si="9"/>
        <v>28.66</v>
      </c>
      <c r="T52" s="160">
        <f t="shared" si="10"/>
        <v>1</v>
      </c>
      <c r="U52" s="160">
        <f t="shared" si="11"/>
        <v>28.66</v>
      </c>
      <c r="V52" s="190">
        <f t="shared" si="12"/>
        <v>1445.91133</v>
      </c>
      <c r="W52" s="177">
        <f t="shared" ref="W52:X52" si="37">C52/100</f>
        <v>1.07</v>
      </c>
      <c r="X52" s="177">
        <f t="shared" si="37"/>
        <v>2.05</v>
      </c>
      <c r="Y52" s="177">
        <f t="shared" si="14"/>
        <v>28.66</v>
      </c>
      <c r="Z52" s="191">
        <f t="shared" si="15"/>
        <v>62.86571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91</v>
      </c>
      <c r="C53" s="192">
        <v>106.0</v>
      </c>
      <c r="D53" s="192">
        <v>205.0</v>
      </c>
      <c r="E53" s="192">
        <v>2864.0</v>
      </c>
      <c r="F53" s="192">
        <f t="shared" si="5"/>
        <v>0</v>
      </c>
      <c r="G53" s="192">
        <f t="shared" si="6"/>
        <v>1431.39856</v>
      </c>
      <c r="H53" s="193">
        <f t="shared" si="7"/>
        <v>1431.39856</v>
      </c>
      <c r="I53" s="192">
        <v>1.0</v>
      </c>
      <c r="J53" s="194">
        <f t="shared" si="8"/>
        <v>1431.39856</v>
      </c>
      <c r="K53" s="139"/>
      <c r="L53" s="177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7">
        <v>1475.0</v>
      </c>
      <c r="R53" s="189">
        <v>23.0</v>
      </c>
      <c r="S53" s="177">
        <f t="shared" si="9"/>
        <v>28.64</v>
      </c>
      <c r="T53" s="160">
        <f t="shared" si="10"/>
        <v>1</v>
      </c>
      <c r="U53" s="160">
        <f t="shared" si="11"/>
        <v>28.64</v>
      </c>
      <c r="V53" s="190">
        <f t="shared" si="12"/>
        <v>1431.39856</v>
      </c>
      <c r="W53" s="177">
        <f t="shared" ref="W53:X53" si="38">C53/100</f>
        <v>1.06</v>
      </c>
      <c r="X53" s="177">
        <f t="shared" si="38"/>
        <v>2.05</v>
      </c>
      <c r="Y53" s="177">
        <f t="shared" si="14"/>
        <v>28.64</v>
      </c>
      <c r="Z53" s="191">
        <f t="shared" si="15"/>
        <v>62.23472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91</v>
      </c>
      <c r="C54" s="192">
        <v>108.0</v>
      </c>
      <c r="D54" s="192">
        <v>205.0</v>
      </c>
      <c r="E54" s="192">
        <v>2864.0</v>
      </c>
      <c r="F54" s="192">
        <f t="shared" si="5"/>
        <v>0</v>
      </c>
      <c r="G54" s="192">
        <f t="shared" si="6"/>
        <v>1458.40608</v>
      </c>
      <c r="H54" s="193">
        <f t="shared" si="7"/>
        <v>1458.40608</v>
      </c>
      <c r="I54" s="192">
        <v>1.0</v>
      </c>
      <c r="J54" s="194">
        <f t="shared" si="8"/>
        <v>1458.40608</v>
      </c>
      <c r="K54" s="139"/>
      <c r="L54" s="177">
        <f t="shared" si="17"/>
        <v>5.207</v>
      </c>
      <c r="M54" s="160">
        <f t="shared" si="18"/>
        <v>1</v>
      </c>
      <c r="N54" s="160">
        <f t="shared" si="19"/>
        <v>5.207</v>
      </c>
      <c r="O54" s="139"/>
      <c r="P54" s="139"/>
      <c r="Q54" s="177">
        <v>1480.0</v>
      </c>
      <c r="R54" s="189">
        <v>23.0</v>
      </c>
      <c r="S54" s="177">
        <f t="shared" si="9"/>
        <v>28.64</v>
      </c>
      <c r="T54" s="160">
        <f t="shared" si="10"/>
        <v>1</v>
      </c>
      <c r="U54" s="160">
        <f t="shared" si="11"/>
        <v>28.64</v>
      </c>
      <c r="V54" s="190">
        <f t="shared" si="12"/>
        <v>1458.40608</v>
      </c>
      <c r="W54" s="177">
        <f t="shared" ref="W54:X54" si="39">C54/100</f>
        <v>1.08</v>
      </c>
      <c r="X54" s="177">
        <f t="shared" si="39"/>
        <v>2.05</v>
      </c>
      <c r="Y54" s="177">
        <f t="shared" si="14"/>
        <v>28.64</v>
      </c>
      <c r="Z54" s="191">
        <f t="shared" si="15"/>
        <v>63.40896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91</v>
      </c>
      <c r="C55" s="192">
        <v>107.0</v>
      </c>
      <c r="D55" s="192">
        <v>205.0</v>
      </c>
      <c r="E55" s="192">
        <v>2868.0</v>
      </c>
      <c r="F55" s="192">
        <f t="shared" si="5"/>
        <v>0</v>
      </c>
      <c r="G55" s="192">
        <f t="shared" si="6"/>
        <v>1446.92034</v>
      </c>
      <c r="H55" s="193">
        <f t="shared" si="7"/>
        <v>1446.92034</v>
      </c>
      <c r="I55" s="192">
        <v>1.0</v>
      </c>
      <c r="J55" s="194">
        <f t="shared" si="8"/>
        <v>1446.92034</v>
      </c>
      <c r="K55" s="139"/>
      <c r="L55" s="177">
        <f t="shared" si="17"/>
        <v>5.207</v>
      </c>
      <c r="M55" s="160">
        <f t="shared" si="18"/>
        <v>1</v>
      </c>
      <c r="N55" s="160">
        <f t="shared" si="19"/>
        <v>5.207</v>
      </c>
      <c r="O55" s="139"/>
      <c r="P55" s="139"/>
      <c r="Q55" s="177">
        <v>1480.0</v>
      </c>
      <c r="R55" s="189">
        <v>23.0</v>
      </c>
      <c r="S55" s="177">
        <f t="shared" si="9"/>
        <v>28.68</v>
      </c>
      <c r="T55" s="160">
        <f t="shared" si="10"/>
        <v>1</v>
      </c>
      <c r="U55" s="160">
        <f t="shared" si="11"/>
        <v>28.68</v>
      </c>
      <c r="V55" s="190">
        <f t="shared" si="12"/>
        <v>1446.92034</v>
      </c>
      <c r="W55" s="177">
        <f t="shared" ref="W55:X55" si="40">C55/100</f>
        <v>1.07</v>
      </c>
      <c r="X55" s="177">
        <f t="shared" si="40"/>
        <v>2.05</v>
      </c>
      <c r="Y55" s="177">
        <f t="shared" si="14"/>
        <v>28.68</v>
      </c>
      <c r="Z55" s="191">
        <f t="shared" si="15"/>
        <v>62.90958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91</v>
      </c>
      <c r="C56" s="192">
        <v>106.0</v>
      </c>
      <c r="D56" s="192">
        <v>205.0</v>
      </c>
      <c r="E56" s="192">
        <v>2875.0</v>
      </c>
      <c r="F56" s="192">
        <f t="shared" si="5"/>
        <v>0</v>
      </c>
      <c r="G56" s="192">
        <f t="shared" si="6"/>
        <v>1436.89625</v>
      </c>
      <c r="H56" s="193">
        <f t="shared" si="7"/>
        <v>1436.89625</v>
      </c>
      <c r="I56" s="192">
        <v>1.0</v>
      </c>
      <c r="J56" s="194">
        <f t="shared" si="8"/>
        <v>1436.89625</v>
      </c>
      <c r="K56" s="139"/>
      <c r="L56" s="177">
        <f t="shared" si="17"/>
        <v>5.207</v>
      </c>
      <c r="M56" s="160">
        <f t="shared" si="18"/>
        <v>1</v>
      </c>
      <c r="N56" s="160">
        <f t="shared" si="19"/>
        <v>5.207</v>
      </c>
      <c r="O56" s="139"/>
      <c r="P56" s="139"/>
      <c r="Q56" s="177">
        <v>1440.0</v>
      </c>
      <c r="R56" s="189">
        <v>23.0</v>
      </c>
      <c r="S56" s="177">
        <f t="shared" si="9"/>
        <v>28.75</v>
      </c>
      <c r="T56" s="160">
        <f t="shared" si="10"/>
        <v>1</v>
      </c>
      <c r="U56" s="160">
        <f t="shared" si="11"/>
        <v>28.75</v>
      </c>
      <c r="V56" s="190">
        <f t="shared" si="12"/>
        <v>1436.89625</v>
      </c>
      <c r="W56" s="177">
        <f t="shared" ref="W56:X56" si="41">C56/100</f>
        <v>1.06</v>
      </c>
      <c r="X56" s="177">
        <f t="shared" si="41"/>
        <v>2.05</v>
      </c>
      <c r="Y56" s="177">
        <f t="shared" si="14"/>
        <v>28.75</v>
      </c>
      <c r="Z56" s="191">
        <f t="shared" si="15"/>
        <v>62.47375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91</v>
      </c>
      <c r="C57" s="192">
        <v>105.0</v>
      </c>
      <c r="D57" s="192">
        <v>205.0</v>
      </c>
      <c r="E57" s="192">
        <v>1765.0</v>
      </c>
      <c r="F57" s="192">
        <f t="shared" si="5"/>
        <v>0</v>
      </c>
      <c r="G57" s="192">
        <f t="shared" si="6"/>
        <v>873.807375</v>
      </c>
      <c r="H57" s="193">
        <f t="shared" si="7"/>
        <v>873.807375</v>
      </c>
      <c r="I57" s="192">
        <v>1.0</v>
      </c>
      <c r="J57" s="194">
        <f t="shared" si="8"/>
        <v>873.807375</v>
      </c>
      <c r="K57" s="139"/>
      <c r="L57" s="195"/>
      <c r="M57" s="196">
        <f t="shared" si="18"/>
        <v>1</v>
      </c>
      <c r="N57" s="196"/>
      <c r="O57" s="139"/>
      <c r="P57" s="139"/>
      <c r="Q57" s="177">
        <v>920.0</v>
      </c>
      <c r="R57" s="189">
        <v>23.0</v>
      </c>
      <c r="S57" s="177">
        <f t="shared" si="9"/>
        <v>17.65</v>
      </c>
      <c r="T57" s="160">
        <f t="shared" si="10"/>
        <v>1</v>
      </c>
      <c r="U57" s="160">
        <f t="shared" si="11"/>
        <v>17.65</v>
      </c>
      <c r="V57" s="190">
        <f t="shared" si="12"/>
        <v>873.807375</v>
      </c>
      <c r="W57" s="177">
        <f t="shared" ref="W57:X57" si="42">C57/100</f>
        <v>1.05</v>
      </c>
      <c r="X57" s="177">
        <f t="shared" si="42"/>
        <v>2.05</v>
      </c>
      <c r="Y57" s="177">
        <f t="shared" si="14"/>
        <v>17.65</v>
      </c>
      <c r="Z57" s="191">
        <f t="shared" si="15"/>
        <v>37.991625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91</v>
      </c>
      <c r="C58" s="192">
        <v>112.0</v>
      </c>
      <c r="D58" s="192">
        <v>205.0</v>
      </c>
      <c r="E58" s="192">
        <v>1727.0</v>
      </c>
      <c r="F58" s="192">
        <f t="shared" si="5"/>
        <v>0</v>
      </c>
      <c r="G58" s="192">
        <f t="shared" si="6"/>
        <v>911.99416</v>
      </c>
      <c r="H58" s="193">
        <f t="shared" si="7"/>
        <v>911.99416</v>
      </c>
      <c r="I58" s="192">
        <v>1.0</v>
      </c>
      <c r="J58" s="194">
        <f t="shared" si="8"/>
        <v>911.99416</v>
      </c>
      <c r="K58" s="139"/>
      <c r="L58" s="195"/>
      <c r="M58" s="196">
        <f t="shared" si="18"/>
        <v>1</v>
      </c>
      <c r="N58" s="196"/>
      <c r="O58" s="139"/>
      <c r="P58" s="139"/>
      <c r="Q58" s="177">
        <v>905.0</v>
      </c>
      <c r="R58" s="189">
        <v>23.0</v>
      </c>
      <c r="S58" s="177">
        <f t="shared" si="9"/>
        <v>17.27</v>
      </c>
      <c r="T58" s="160">
        <f t="shared" si="10"/>
        <v>1</v>
      </c>
      <c r="U58" s="160">
        <f t="shared" si="11"/>
        <v>17.27</v>
      </c>
      <c r="V58" s="190">
        <f t="shared" si="12"/>
        <v>911.99416</v>
      </c>
      <c r="W58" s="177">
        <f t="shared" ref="W58:X58" si="43">C58/100</f>
        <v>1.12</v>
      </c>
      <c r="X58" s="177">
        <f t="shared" si="43"/>
        <v>2.05</v>
      </c>
      <c r="Y58" s="177">
        <f t="shared" si="14"/>
        <v>17.27</v>
      </c>
      <c r="Z58" s="191">
        <f t="shared" si="15"/>
        <v>39.65192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91</v>
      </c>
      <c r="C59" s="192">
        <v>112.0</v>
      </c>
      <c r="D59" s="192">
        <v>205.0</v>
      </c>
      <c r="E59" s="192">
        <v>2867.0</v>
      </c>
      <c r="F59" s="192">
        <f t="shared" si="5"/>
        <v>0</v>
      </c>
      <c r="G59" s="192">
        <f t="shared" si="6"/>
        <v>1514.00536</v>
      </c>
      <c r="H59" s="193">
        <f t="shared" si="7"/>
        <v>1514.00536</v>
      </c>
      <c r="I59" s="192">
        <v>1.0</v>
      </c>
      <c r="J59" s="194">
        <f t="shared" si="8"/>
        <v>1514.00536</v>
      </c>
      <c r="K59" s="139"/>
      <c r="L59" s="195"/>
      <c r="M59" s="196">
        <f t="shared" si="18"/>
        <v>1</v>
      </c>
      <c r="N59" s="196"/>
      <c r="O59" s="139"/>
      <c r="P59" s="139"/>
      <c r="Q59" s="177">
        <v>1510.0</v>
      </c>
      <c r="R59" s="189">
        <v>23.0</v>
      </c>
      <c r="S59" s="177">
        <f t="shared" si="9"/>
        <v>28.67</v>
      </c>
      <c r="T59" s="160">
        <f t="shared" si="10"/>
        <v>1</v>
      </c>
      <c r="U59" s="160">
        <f t="shared" si="11"/>
        <v>28.67</v>
      </c>
      <c r="V59" s="190">
        <f t="shared" si="12"/>
        <v>1514.00536</v>
      </c>
      <c r="W59" s="177">
        <f t="shared" ref="W59:X59" si="44">C59/100</f>
        <v>1.12</v>
      </c>
      <c r="X59" s="177">
        <f t="shared" si="44"/>
        <v>2.05</v>
      </c>
      <c r="Y59" s="177">
        <f t="shared" si="14"/>
        <v>28.67</v>
      </c>
      <c r="Z59" s="191">
        <f t="shared" si="15"/>
        <v>65.82632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2" t="s">
        <v>91</v>
      </c>
      <c r="C60" s="192">
        <v>109.0</v>
      </c>
      <c r="D60" s="192">
        <v>205.0</v>
      </c>
      <c r="E60" s="192">
        <v>1543.0</v>
      </c>
      <c r="F60" s="192">
        <f t="shared" si="5"/>
        <v>0</v>
      </c>
      <c r="G60" s="192">
        <f t="shared" si="6"/>
        <v>793.001705</v>
      </c>
      <c r="H60" s="193">
        <f t="shared" si="7"/>
        <v>793.001705</v>
      </c>
      <c r="I60" s="192">
        <v>1.0</v>
      </c>
      <c r="J60" s="194">
        <f t="shared" si="8"/>
        <v>793.001705</v>
      </c>
      <c r="K60" s="139"/>
      <c r="L60" s="195"/>
      <c r="M60" s="196">
        <f t="shared" si="18"/>
        <v>1</v>
      </c>
      <c r="N60" s="196"/>
      <c r="O60" s="139"/>
      <c r="P60" s="139"/>
      <c r="Q60" s="177">
        <v>825.0</v>
      </c>
      <c r="R60" s="189">
        <v>23.0</v>
      </c>
      <c r="S60" s="177">
        <f t="shared" si="9"/>
        <v>15.43</v>
      </c>
      <c r="T60" s="160">
        <f t="shared" si="10"/>
        <v>1</v>
      </c>
      <c r="U60" s="160">
        <f t="shared" si="11"/>
        <v>15.43</v>
      </c>
      <c r="V60" s="190">
        <f t="shared" si="12"/>
        <v>793.001705</v>
      </c>
      <c r="W60" s="177">
        <f t="shared" ref="W60:X60" si="45">C60/100</f>
        <v>1.09</v>
      </c>
      <c r="X60" s="177">
        <f t="shared" si="45"/>
        <v>2.05</v>
      </c>
      <c r="Y60" s="177">
        <f t="shared" si="14"/>
        <v>15.43</v>
      </c>
      <c r="Z60" s="191">
        <f t="shared" si="15"/>
        <v>34.478335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51.0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52.0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53.0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54.0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55.0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56.0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1">C66/100</f>
        <v>0</v>
      </c>
      <c r="X66" s="177">
        <f t="shared" si="51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57.0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58.0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59.0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60.0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77">
        <f t="shared" ref="L70:L71" si="56">D70*25.4/1000</f>
        <v>0</v>
      </c>
      <c r="M70" s="160" t="str">
        <f t="shared" ref="M70:M85" si="57">+I70</f>
        <v/>
      </c>
      <c r="N70" s="160">
        <f t="shared" ref="N70:N71" si="58">M70*L70</f>
        <v>0</v>
      </c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>
        <f t="shared" si="56"/>
        <v>0</v>
      </c>
      <c r="M71" s="196" t="str">
        <f t="shared" si="57"/>
        <v/>
      </c>
      <c r="N71" s="196">
        <f t="shared" si="58"/>
        <v>0</v>
      </c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7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7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7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7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7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7"/>
        <v/>
      </c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7"/>
        <v/>
      </c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7"/>
        <v/>
      </c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7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7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57"/>
        <v/>
      </c>
      <c r="N82" s="196"/>
      <c r="O82" s="139"/>
      <c r="P82" s="139"/>
      <c r="Q82" s="177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199">
        <f t="shared" si="12"/>
        <v>0</v>
      </c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57"/>
        <v/>
      </c>
      <c r="N83" s="196"/>
      <c r="O83" s="139"/>
      <c r="P83" s="139"/>
      <c r="Q83" s="177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199">
        <f t="shared" si="12"/>
        <v>0</v>
      </c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57"/>
        <v/>
      </c>
      <c r="N84" s="196"/>
      <c r="O84" s="139"/>
      <c r="P84" s="139"/>
      <c r="Q84" s="177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199">
        <f t="shared" si="12"/>
        <v>0</v>
      </c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57"/>
        <v/>
      </c>
      <c r="N85" s="196"/>
      <c r="O85" s="139"/>
      <c r="P85" s="139"/>
      <c r="Q85" s="177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199">
        <f t="shared" si="12"/>
        <v>0</v>
      </c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178.0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179.0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180.0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181.0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182.0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183.0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184.0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185.0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186.0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187.0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188.0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189.0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190.0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191.0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192.0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193.0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194.0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195.0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196.0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197.0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198.0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199.0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200.0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201.0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202.0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203.0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204.0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205.0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206.0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207.0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208.0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209.0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210.0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211.0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212.0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213.0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214.0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215.0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216.0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217.0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0"/>
      <c r="B228" s="177"/>
      <c r="C228" s="177"/>
      <c r="D228" s="177"/>
      <c r="E228" s="177"/>
      <c r="F228" s="177"/>
      <c r="G228" s="177"/>
      <c r="H228" s="180"/>
      <c r="I228" s="160"/>
      <c r="J228" s="202">
        <f>+Q285</f>
        <v>116.4</v>
      </c>
      <c r="K228" s="139"/>
      <c r="L228" s="139"/>
      <c r="M228" s="139"/>
      <c r="N228" s="139"/>
      <c r="O228" s="139"/>
      <c r="P228" s="139"/>
      <c r="Q228" s="139"/>
      <c r="R228" s="203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customHeight="1">
      <c r="A229" s="160"/>
      <c r="B229" s="204"/>
      <c r="C229" s="204"/>
      <c r="D229" s="204"/>
      <c r="E229" s="204"/>
      <c r="F229" s="204"/>
      <c r="G229" s="204"/>
      <c r="H229" s="205"/>
      <c r="I229" s="206">
        <f>SUM(I32:I227)</f>
        <v>29</v>
      </c>
      <c r="J229" s="207">
        <f>SUM(J32:J228)</f>
        <v>15473.20758</v>
      </c>
      <c r="K229" s="208"/>
      <c r="L229" s="208"/>
      <c r="M229" s="208"/>
      <c r="N229" s="208"/>
      <c r="O229" s="208"/>
      <c r="P229" s="208"/>
      <c r="Q229" s="208"/>
      <c r="R229" s="141"/>
      <c r="S229" s="208">
        <f>SUMIFS($T$32:$T$227,$S$32:$S$227,"&gt;=3")</f>
        <v>11</v>
      </c>
      <c r="T229" s="208">
        <f t="shared" ref="T229:U229" si="217">SUM(T32:T227)</f>
        <v>29</v>
      </c>
      <c r="U229" s="208">
        <f t="shared" si="217"/>
        <v>309.27</v>
      </c>
      <c r="V229" s="208"/>
      <c r="W229" s="208"/>
      <c r="X229" s="208"/>
      <c r="Y229" s="208"/>
      <c r="Z229" s="209">
        <f>SUM(Z32:Z228)</f>
        <v>667.687286</v>
      </c>
      <c r="AA229" s="208"/>
      <c r="AB229" s="208"/>
      <c r="AC229" s="208"/>
      <c r="AD229" s="208"/>
      <c r="AE229" s="208"/>
      <c r="AF229" s="208"/>
      <c r="AG229" s="208"/>
      <c r="AH229" s="208"/>
      <c r="AI229" s="208"/>
      <c r="AJ229" s="208"/>
      <c r="AK229" s="208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201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203"/>
      <c r="S231" s="139"/>
      <c r="T231" s="139" t="s">
        <v>48</v>
      </c>
      <c r="U231" s="139" t="s">
        <v>59</v>
      </c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31</v>
      </c>
      <c r="T232" s="210">
        <f>SUMIFS($J$32:$J$227,$S$32:$S$227,"&gt;=3")</f>
        <v>14179.63639</v>
      </c>
      <c r="U232" s="211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 t="s">
        <v>32</v>
      </c>
      <c r="B233" s="139"/>
      <c r="C233" s="139"/>
      <c r="D233" s="139" t="s">
        <v>33</v>
      </c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39" t="s">
        <v>34</v>
      </c>
      <c r="T233" s="212">
        <f>J229-T232</f>
        <v>1293.571188</v>
      </c>
      <c r="U233" s="211">
        <f>+SUMIFS($U$32:$U$227,$S$32:$S$227,"&gt;=3")</f>
        <v>279.76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203"/>
      <c r="S234" s="139"/>
      <c r="T234" s="213">
        <f>+I229</f>
        <v>29</v>
      </c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39.0" customHeight="1">
      <c r="A235" s="177"/>
      <c r="B235" s="160" t="s">
        <v>12</v>
      </c>
      <c r="C235" s="178" t="s">
        <v>60</v>
      </c>
      <c r="D235" s="52"/>
      <c r="E235" s="53"/>
      <c r="F235" s="179"/>
      <c r="G235" s="179"/>
      <c r="H235" s="180" t="s">
        <v>14</v>
      </c>
      <c r="I235" s="160" t="s">
        <v>15</v>
      </c>
      <c r="J235" s="160" t="s">
        <v>16</v>
      </c>
      <c r="K235" s="139"/>
      <c r="L235" s="139"/>
      <c r="M235" s="139"/>
      <c r="N235" s="139"/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1.0</v>
      </c>
      <c r="B236" s="214"/>
      <c r="C236" s="214"/>
      <c r="D236" s="214"/>
      <c r="E236" s="214"/>
      <c r="F236" s="214">
        <f t="shared" ref="F236:F249" si="218">1-VALUE(IF(RIGHT(B236, 1)="%", RIGHT(B236, 3), 0))</f>
        <v>1</v>
      </c>
      <c r="G236" s="214">
        <f t="shared" ref="G236:G249" si="219">+Q236*C236/100*D236/100*E236/100</f>
        <v>0</v>
      </c>
      <c r="H236" s="215">
        <f t="shared" ref="H236:H249" si="220">IF(F236=0, G236, F236*G236)</f>
        <v>0</v>
      </c>
      <c r="I236" s="214"/>
      <c r="J236" s="216"/>
      <c r="K236" s="139"/>
      <c r="L236" s="177">
        <f t="shared" ref="L236:L244" si="221">D236*25.4/1000</f>
        <v>0</v>
      </c>
      <c r="M236" s="160" t="str">
        <f t="shared" ref="M236:M240" si="222">+I236</f>
        <v/>
      </c>
      <c r="N236" s="160">
        <f t="shared" ref="N236:N240" si="223">M236*L236</f>
        <v>0</v>
      </c>
      <c r="O236" s="139"/>
      <c r="P236" s="139"/>
      <c r="Q236" s="139"/>
      <c r="R236" s="141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2.0</v>
      </c>
      <c r="B237" s="214"/>
      <c r="C237" s="214"/>
      <c r="D237" s="214"/>
      <c r="E237" s="214"/>
      <c r="F237" s="214">
        <f t="shared" si="218"/>
        <v>1</v>
      </c>
      <c r="G237" s="214">
        <f t="shared" si="219"/>
        <v>0</v>
      </c>
      <c r="H237" s="215">
        <f t="shared" si="220"/>
        <v>0</v>
      </c>
      <c r="I237" s="214"/>
      <c r="J237" s="216">
        <f t="shared" ref="J237:J249" si="224">+I237*H237</f>
        <v>0</v>
      </c>
      <c r="K237" s="139"/>
      <c r="L237" s="177">
        <f t="shared" si="221"/>
        <v>0</v>
      </c>
      <c r="M237" s="160" t="str">
        <f t="shared" si="222"/>
        <v/>
      </c>
      <c r="N237" s="160">
        <f t="shared" si="223"/>
        <v>0</v>
      </c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3.0</v>
      </c>
      <c r="B238" s="217"/>
      <c r="C238" s="217"/>
      <c r="D238" s="217"/>
      <c r="E238" s="217"/>
      <c r="F238" s="217">
        <f t="shared" si="218"/>
        <v>1</v>
      </c>
      <c r="G238" s="217">
        <f t="shared" si="219"/>
        <v>0</v>
      </c>
      <c r="H238" s="218">
        <f t="shared" si="220"/>
        <v>0</v>
      </c>
      <c r="I238" s="217"/>
      <c r="J238" s="194">
        <f t="shared" si="224"/>
        <v>0</v>
      </c>
      <c r="K238" s="139"/>
      <c r="L238" s="177">
        <f t="shared" si="221"/>
        <v>0</v>
      </c>
      <c r="M238" s="160" t="str">
        <f t="shared" si="222"/>
        <v/>
      </c>
      <c r="N238" s="160">
        <f t="shared" si="223"/>
        <v>0</v>
      </c>
      <c r="O238" s="139"/>
      <c r="P238" s="139"/>
      <c r="Q238" s="139"/>
      <c r="R238" s="139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4.0</v>
      </c>
      <c r="B239" s="217"/>
      <c r="C239" s="217"/>
      <c r="D239" s="217"/>
      <c r="E239" s="217"/>
      <c r="F239" s="217">
        <f t="shared" si="218"/>
        <v>1</v>
      </c>
      <c r="G239" s="217">
        <f t="shared" si="219"/>
        <v>0</v>
      </c>
      <c r="H239" s="218">
        <f t="shared" si="220"/>
        <v>0</v>
      </c>
      <c r="I239" s="217"/>
      <c r="J239" s="194">
        <f t="shared" si="224"/>
        <v>0</v>
      </c>
      <c r="K239" s="139"/>
      <c r="L239" s="177">
        <f t="shared" si="221"/>
        <v>0</v>
      </c>
      <c r="M239" s="160" t="str">
        <f t="shared" si="222"/>
        <v/>
      </c>
      <c r="N239" s="160">
        <f t="shared" si="223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5.0</v>
      </c>
      <c r="B240" s="217"/>
      <c r="C240" s="217"/>
      <c r="D240" s="217"/>
      <c r="E240" s="217"/>
      <c r="F240" s="217">
        <f t="shared" si="218"/>
        <v>1</v>
      </c>
      <c r="G240" s="217">
        <f t="shared" si="219"/>
        <v>0</v>
      </c>
      <c r="H240" s="218">
        <f t="shared" si="220"/>
        <v>0</v>
      </c>
      <c r="I240" s="217"/>
      <c r="J240" s="194">
        <f t="shared" si="224"/>
        <v>0</v>
      </c>
      <c r="K240" s="139"/>
      <c r="L240" s="177">
        <f t="shared" si="221"/>
        <v>0</v>
      </c>
      <c r="M240" s="160" t="str">
        <f t="shared" si="222"/>
        <v/>
      </c>
      <c r="N240" s="160">
        <f t="shared" si="223"/>
        <v>0</v>
      </c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6.0</v>
      </c>
      <c r="B241" s="217"/>
      <c r="C241" s="217"/>
      <c r="D241" s="217"/>
      <c r="E241" s="217"/>
      <c r="F241" s="217">
        <f t="shared" si="218"/>
        <v>1</v>
      </c>
      <c r="G241" s="217">
        <f t="shared" si="219"/>
        <v>0</v>
      </c>
      <c r="H241" s="218">
        <f t="shared" si="220"/>
        <v>0</v>
      </c>
      <c r="I241" s="217"/>
      <c r="J241" s="194">
        <f t="shared" si="224"/>
        <v>0</v>
      </c>
      <c r="K241" s="139"/>
      <c r="L241" s="139">
        <f t="shared" si="221"/>
        <v>0</v>
      </c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7.0</v>
      </c>
      <c r="B242" s="217"/>
      <c r="C242" s="217"/>
      <c r="D242" s="217"/>
      <c r="E242" s="217"/>
      <c r="F242" s="217">
        <f t="shared" si="218"/>
        <v>1</v>
      </c>
      <c r="G242" s="217">
        <f t="shared" si="219"/>
        <v>0</v>
      </c>
      <c r="H242" s="218">
        <f t="shared" si="220"/>
        <v>0</v>
      </c>
      <c r="I242" s="217"/>
      <c r="J242" s="194">
        <f t="shared" si="224"/>
        <v>0</v>
      </c>
      <c r="K242" s="139"/>
      <c r="L242" s="139">
        <f t="shared" si="221"/>
        <v>0</v>
      </c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8.0</v>
      </c>
      <c r="B243" s="217"/>
      <c r="C243" s="217"/>
      <c r="D243" s="217"/>
      <c r="E243" s="217"/>
      <c r="F243" s="217">
        <f t="shared" si="218"/>
        <v>1</v>
      </c>
      <c r="G243" s="217">
        <f t="shared" si="219"/>
        <v>0</v>
      </c>
      <c r="H243" s="218">
        <f t="shared" si="220"/>
        <v>0</v>
      </c>
      <c r="I243" s="217"/>
      <c r="J243" s="194">
        <f t="shared" si="224"/>
        <v>0</v>
      </c>
      <c r="K243" s="139"/>
      <c r="L243" s="139">
        <f t="shared" si="221"/>
        <v>0</v>
      </c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9.0</v>
      </c>
      <c r="B244" s="217"/>
      <c r="C244" s="217"/>
      <c r="D244" s="217"/>
      <c r="E244" s="217"/>
      <c r="F244" s="217">
        <f t="shared" si="218"/>
        <v>1</v>
      </c>
      <c r="G244" s="217">
        <f t="shared" si="219"/>
        <v>0</v>
      </c>
      <c r="H244" s="218">
        <f t="shared" si="220"/>
        <v>0</v>
      </c>
      <c r="I244" s="217"/>
      <c r="J244" s="194">
        <f t="shared" si="224"/>
        <v>0</v>
      </c>
      <c r="K244" s="139"/>
      <c r="L244" s="139">
        <f t="shared" si="221"/>
        <v>0</v>
      </c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10.0</v>
      </c>
      <c r="B245" s="192"/>
      <c r="C245" s="192"/>
      <c r="D245" s="192"/>
      <c r="E245" s="192"/>
      <c r="F245" s="192">
        <f t="shared" si="218"/>
        <v>1</v>
      </c>
      <c r="G245" s="192">
        <f t="shared" si="219"/>
        <v>0</v>
      </c>
      <c r="H245" s="193">
        <f t="shared" si="220"/>
        <v>0</v>
      </c>
      <c r="I245" s="192"/>
      <c r="J245" s="194">
        <f t="shared" si="224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11.0</v>
      </c>
      <c r="B246" s="192"/>
      <c r="C246" s="192"/>
      <c r="D246" s="192"/>
      <c r="E246" s="192"/>
      <c r="F246" s="192">
        <f t="shared" si="218"/>
        <v>1</v>
      </c>
      <c r="G246" s="192">
        <f t="shared" si="219"/>
        <v>0</v>
      </c>
      <c r="H246" s="193">
        <f t="shared" si="220"/>
        <v>0</v>
      </c>
      <c r="I246" s="192"/>
      <c r="J246" s="194">
        <f t="shared" si="224"/>
        <v>0</v>
      </c>
      <c r="K246" s="139"/>
      <c r="L246" s="139"/>
      <c r="M246" s="220"/>
      <c r="N246" s="220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12.0</v>
      </c>
      <c r="B247" s="192"/>
      <c r="C247" s="192"/>
      <c r="D247" s="192"/>
      <c r="E247" s="192"/>
      <c r="F247" s="192">
        <f t="shared" si="218"/>
        <v>1</v>
      </c>
      <c r="G247" s="192">
        <f t="shared" si="219"/>
        <v>0</v>
      </c>
      <c r="H247" s="193">
        <f t="shared" si="220"/>
        <v>0</v>
      </c>
      <c r="I247" s="192"/>
      <c r="J247" s="194">
        <f t="shared" si="224"/>
        <v>0</v>
      </c>
      <c r="K247" s="139"/>
      <c r="L247" s="139"/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13.0</v>
      </c>
      <c r="B248" s="192"/>
      <c r="C248" s="192"/>
      <c r="D248" s="192"/>
      <c r="E248" s="192"/>
      <c r="F248" s="192">
        <f t="shared" si="218"/>
        <v>1</v>
      </c>
      <c r="G248" s="192">
        <f t="shared" si="219"/>
        <v>0</v>
      </c>
      <c r="H248" s="193">
        <f t="shared" si="220"/>
        <v>0</v>
      </c>
      <c r="I248" s="192"/>
      <c r="J248" s="194">
        <f t="shared" si="224"/>
        <v>0</v>
      </c>
      <c r="K248" s="139"/>
      <c r="L248" s="139"/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14.0</v>
      </c>
      <c r="B249" s="192"/>
      <c r="C249" s="192"/>
      <c r="D249" s="192"/>
      <c r="E249" s="192"/>
      <c r="F249" s="192">
        <f t="shared" si="218"/>
        <v>1</v>
      </c>
      <c r="G249" s="192">
        <f t="shared" si="219"/>
        <v>0</v>
      </c>
      <c r="H249" s="193">
        <f t="shared" si="220"/>
        <v>0</v>
      </c>
      <c r="I249" s="192"/>
      <c r="J249" s="194">
        <f t="shared" si="224"/>
        <v>0</v>
      </c>
      <c r="K249" s="139"/>
      <c r="L249" s="139"/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4.75" customHeight="1">
      <c r="A250" s="160"/>
      <c r="B250" s="195"/>
      <c r="C250" s="195"/>
      <c r="D250" s="195"/>
      <c r="E250" s="195"/>
      <c r="F250" s="195"/>
      <c r="G250" s="195"/>
      <c r="H250" s="221" t="s">
        <v>38</v>
      </c>
      <c r="I250" s="195"/>
      <c r="J250" s="222">
        <f>SUM(J236:J249)</f>
        <v>0</v>
      </c>
      <c r="K250" s="139"/>
      <c r="L250" s="139"/>
      <c r="M250" s="139"/>
      <c r="N250" s="139"/>
      <c r="O250" s="139"/>
      <c r="P250" s="139"/>
      <c r="Q250" s="139"/>
      <c r="R250" s="141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74"/>
      <c r="B251" s="144"/>
      <c r="C251" s="144"/>
      <c r="D251" s="144"/>
      <c r="E251" s="144"/>
      <c r="F251" s="144"/>
      <c r="G251" s="144"/>
      <c r="H251" s="145"/>
      <c r="I251" s="144"/>
      <c r="J251" s="175"/>
      <c r="K251" s="139"/>
      <c r="L251" s="139"/>
      <c r="M251" s="139"/>
      <c r="N251" s="139"/>
      <c r="O251" s="139"/>
      <c r="P251" s="139"/>
      <c r="Q251" s="139"/>
      <c r="R251" s="141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 t="s">
        <v>39</v>
      </c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23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23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42.0" customHeight="1">
      <c r="A256" s="177"/>
      <c r="B256" s="160" t="s">
        <v>12</v>
      </c>
      <c r="C256" s="178" t="s">
        <v>61</v>
      </c>
      <c r="D256" s="52"/>
      <c r="E256" s="53"/>
      <c r="F256" s="224"/>
      <c r="G256" s="224"/>
      <c r="H256" s="180" t="s">
        <v>14</v>
      </c>
      <c r="I256" s="225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223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4.75" customHeight="1">
      <c r="A257" s="160">
        <v>1.0</v>
      </c>
      <c r="B257" s="270" t="s">
        <v>91</v>
      </c>
      <c r="C257" s="198"/>
      <c r="D257" s="198"/>
      <c r="E257" s="198"/>
      <c r="F257" s="198"/>
      <c r="G257" s="198"/>
      <c r="H257" s="226">
        <v>142.0</v>
      </c>
      <c r="I257" s="198">
        <v>1.0</v>
      </c>
      <c r="J257" s="194">
        <f t="shared" ref="J257:J283" si="225">+I257*H257</f>
        <v>142</v>
      </c>
      <c r="K257" s="177"/>
      <c r="L257" s="177"/>
      <c r="M257" s="177"/>
      <c r="N257" s="177"/>
      <c r="O257" s="177"/>
      <c r="P257" s="177"/>
      <c r="Q257" s="227"/>
      <c r="R257" s="223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7"/>
      <c r="AF257" s="177"/>
      <c r="AG257" s="177"/>
      <c r="AH257" s="177"/>
      <c r="AI257" s="177"/>
      <c r="AJ257" s="177"/>
      <c r="AK257" s="177"/>
    </row>
    <row r="258" ht="24.75" customHeight="1">
      <c r="A258" s="160">
        <v>2.0</v>
      </c>
      <c r="B258" s="228" t="s">
        <v>91</v>
      </c>
      <c r="C258" s="198"/>
      <c r="D258" s="198"/>
      <c r="E258" s="198"/>
      <c r="F258" s="198"/>
      <c r="G258" s="198"/>
      <c r="H258" s="226">
        <v>149.0</v>
      </c>
      <c r="I258" s="198">
        <v>1.0</v>
      </c>
      <c r="J258" s="194">
        <f t="shared" si="225"/>
        <v>149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7"/>
      <c r="AF258" s="177"/>
      <c r="AG258" s="177"/>
      <c r="AH258" s="177"/>
      <c r="AI258" s="177"/>
      <c r="AJ258" s="177"/>
      <c r="AK258" s="177"/>
    </row>
    <row r="259" ht="24.75" hidden="1" customHeight="1">
      <c r="A259" s="160">
        <v>11.0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5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7"/>
      <c r="AF259" s="177"/>
      <c r="AG259" s="177"/>
      <c r="AH259" s="177"/>
      <c r="AI259" s="177"/>
      <c r="AJ259" s="177"/>
      <c r="AK259" s="177"/>
    </row>
    <row r="260" ht="24.75" hidden="1" customHeight="1">
      <c r="A260" s="160">
        <v>12.0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5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7"/>
      <c r="AF260" s="177"/>
      <c r="AG260" s="177"/>
      <c r="AH260" s="177"/>
      <c r="AI260" s="177"/>
      <c r="AJ260" s="177"/>
      <c r="AK260" s="177"/>
    </row>
    <row r="261" ht="24.75" hidden="1" customHeight="1">
      <c r="A261" s="160">
        <v>13.0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5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7"/>
      <c r="AF261" s="177"/>
      <c r="AG261" s="177"/>
      <c r="AH261" s="177"/>
      <c r="AI261" s="177"/>
      <c r="AJ261" s="177"/>
      <c r="AK261" s="177"/>
    </row>
    <row r="262" ht="24.75" hidden="1" customHeight="1">
      <c r="A262" s="160">
        <v>14.0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5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7"/>
      <c r="AF262" s="177"/>
      <c r="AG262" s="177"/>
      <c r="AH262" s="177"/>
      <c r="AI262" s="177"/>
      <c r="AJ262" s="177"/>
      <c r="AK262" s="177"/>
    </row>
    <row r="263" ht="24.75" hidden="1" customHeight="1">
      <c r="A263" s="160">
        <v>15.0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5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7"/>
      <c r="AF263" s="177"/>
      <c r="AG263" s="177"/>
      <c r="AH263" s="177"/>
      <c r="AI263" s="177"/>
      <c r="AJ263" s="177"/>
      <c r="AK263" s="177"/>
    </row>
    <row r="264" ht="24.75" hidden="1" customHeight="1">
      <c r="A264" s="160">
        <v>16.0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5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7"/>
      <c r="AF264" s="177"/>
      <c r="AG264" s="177"/>
      <c r="AH264" s="177"/>
      <c r="AI264" s="177"/>
      <c r="AJ264" s="177"/>
      <c r="AK264" s="177"/>
    </row>
    <row r="265" ht="24.75" hidden="1" customHeight="1">
      <c r="A265" s="160">
        <v>17.0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5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7"/>
      <c r="AF265" s="177"/>
      <c r="AG265" s="177"/>
      <c r="AH265" s="177"/>
      <c r="AI265" s="177"/>
      <c r="AJ265" s="177"/>
      <c r="AK265" s="177"/>
    </row>
    <row r="266" ht="24.75" hidden="1" customHeight="1">
      <c r="A266" s="160">
        <v>18.0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5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7"/>
      <c r="AF266" s="177"/>
      <c r="AG266" s="177"/>
      <c r="AH266" s="177"/>
      <c r="AI266" s="177"/>
      <c r="AJ266" s="177"/>
      <c r="AK266" s="177"/>
    </row>
    <row r="267" ht="24.75" hidden="1" customHeight="1">
      <c r="A267" s="160">
        <v>19.0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5"/>
        <v>0</v>
      </c>
      <c r="K267" s="177"/>
      <c r="L267" s="177"/>
      <c r="M267" s="177"/>
      <c r="N267" s="177"/>
      <c r="O267" s="177"/>
      <c r="P267" s="177"/>
      <c r="Q267" s="227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7"/>
      <c r="AF267" s="177"/>
      <c r="AG267" s="177"/>
      <c r="AH267" s="177"/>
      <c r="AI267" s="177"/>
      <c r="AJ267" s="177"/>
      <c r="AK267" s="177"/>
    </row>
    <row r="268" ht="24.75" hidden="1" customHeight="1">
      <c r="A268" s="160">
        <v>20.0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5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7"/>
      <c r="AF268" s="177"/>
      <c r="AG268" s="177"/>
      <c r="AH268" s="177"/>
      <c r="AI268" s="177"/>
      <c r="AJ268" s="177"/>
      <c r="AK268" s="177"/>
    </row>
    <row r="269" ht="24.75" hidden="1" customHeight="1">
      <c r="A269" s="160">
        <v>21.0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5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7"/>
      <c r="AF269" s="177"/>
      <c r="AG269" s="177"/>
      <c r="AH269" s="177"/>
      <c r="AI269" s="177"/>
      <c r="AJ269" s="177"/>
      <c r="AK269" s="177"/>
    </row>
    <row r="270" ht="24.75" hidden="1" customHeight="1">
      <c r="A270" s="160">
        <v>22.0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5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7"/>
      <c r="AF270" s="177"/>
      <c r="AG270" s="177"/>
      <c r="AH270" s="177"/>
      <c r="AI270" s="177"/>
      <c r="AJ270" s="177"/>
      <c r="AK270" s="177"/>
    </row>
    <row r="271" ht="24.75" hidden="1" customHeight="1">
      <c r="A271" s="160">
        <v>23.0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5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7"/>
      <c r="AF271" s="177"/>
      <c r="AG271" s="177"/>
      <c r="AH271" s="177"/>
      <c r="AI271" s="177"/>
      <c r="AJ271" s="177"/>
      <c r="AK271" s="177"/>
    </row>
    <row r="272" ht="24.75" hidden="1" customHeight="1">
      <c r="A272" s="160">
        <v>24.0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5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7"/>
      <c r="AF272" s="177"/>
      <c r="AG272" s="177"/>
      <c r="AH272" s="177"/>
      <c r="AI272" s="177"/>
      <c r="AJ272" s="177"/>
      <c r="AK272" s="177"/>
    </row>
    <row r="273" ht="24.75" hidden="1" customHeight="1">
      <c r="A273" s="160">
        <v>25.0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5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7"/>
      <c r="AF273" s="177"/>
      <c r="AG273" s="177"/>
      <c r="AH273" s="177"/>
      <c r="AI273" s="177"/>
      <c r="AJ273" s="177"/>
      <c r="AK273" s="177"/>
    </row>
    <row r="274" ht="24.75" hidden="1" customHeight="1">
      <c r="A274" s="160">
        <v>26.0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5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7"/>
      <c r="AF274" s="177"/>
      <c r="AG274" s="177"/>
      <c r="AH274" s="177"/>
      <c r="AI274" s="177"/>
      <c r="AJ274" s="177"/>
      <c r="AK274" s="177"/>
    </row>
    <row r="275" ht="24.75" hidden="1" customHeight="1">
      <c r="A275" s="160">
        <v>27.0</v>
      </c>
      <c r="B275" s="228"/>
      <c r="C275" s="198"/>
      <c r="D275" s="198"/>
      <c r="E275" s="198"/>
      <c r="F275" s="198"/>
      <c r="G275" s="198"/>
      <c r="H275" s="198"/>
      <c r="I275" s="198"/>
      <c r="J275" s="194">
        <f t="shared" si="225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7"/>
      <c r="AF275" s="177"/>
      <c r="AG275" s="177"/>
      <c r="AH275" s="177"/>
      <c r="AI275" s="177"/>
      <c r="AJ275" s="177"/>
      <c r="AK275" s="177"/>
    </row>
    <row r="276" ht="24.75" hidden="1" customHeight="1">
      <c r="A276" s="160">
        <v>28.0</v>
      </c>
      <c r="B276" s="228"/>
      <c r="C276" s="198"/>
      <c r="D276" s="198"/>
      <c r="E276" s="198"/>
      <c r="F276" s="198"/>
      <c r="G276" s="198"/>
      <c r="H276" s="198"/>
      <c r="I276" s="198"/>
      <c r="J276" s="194">
        <f t="shared" si="225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7"/>
      <c r="AF276" s="177"/>
      <c r="AG276" s="177"/>
      <c r="AH276" s="177"/>
      <c r="AI276" s="177"/>
      <c r="AJ276" s="177"/>
      <c r="AK276" s="177"/>
    </row>
    <row r="277" ht="24.75" hidden="1" customHeight="1">
      <c r="A277" s="160">
        <v>29.0</v>
      </c>
      <c r="B277" s="229"/>
      <c r="C277" s="198"/>
      <c r="D277" s="198"/>
      <c r="E277" s="198"/>
      <c r="F277" s="198"/>
      <c r="G277" s="198"/>
      <c r="H277" s="198"/>
      <c r="I277" s="198"/>
      <c r="J277" s="194">
        <f t="shared" si="225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7"/>
      <c r="AF277" s="177"/>
      <c r="AG277" s="177"/>
      <c r="AH277" s="177"/>
      <c r="AI277" s="177"/>
      <c r="AJ277" s="177"/>
      <c r="AK277" s="177"/>
    </row>
    <row r="278" ht="24.75" hidden="1" customHeight="1">
      <c r="A278" s="160">
        <v>30.0</v>
      </c>
      <c r="B278" s="229"/>
      <c r="C278" s="198"/>
      <c r="D278" s="198"/>
      <c r="E278" s="198"/>
      <c r="F278" s="198"/>
      <c r="G278" s="198"/>
      <c r="H278" s="226"/>
      <c r="I278" s="198"/>
      <c r="J278" s="194">
        <f t="shared" si="225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7"/>
      <c r="AF278" s="177"/>
      <c r="AG278" s="177"/>
      <c r="AH278" s="177"/>
      <c r="AI278" s="177"/>
      <c r="AJ278" s="177"/>
      <c r="AK278" s="177"/>
    </row>
    <row r="279" ht="24.75" hidden="1" customHeight="1">
      <c r="A279" s="160">
        <v>31.0</v>
      </c>
      <c r="B279" s="217"/>
      <c r="C279" s="198"/>
      <c r="D279" s="198"/>
      <c r="E279" s="198"/>
      <c r="F279" s="198"/>
      <c r="G279" s="198"/>
      <c r="H279" s="226"/>
      <c r="I279" s="198"/>
      <c r="J279" s="194">
        <f t="shared" si="225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32.0</v>
      </c>
      <c r="B280" s="217"/>
      <c r="C280" s="160"/>
      <c r="D280" s="160"/>
      <c r="E280" s="160"/>
      <c r="F280" s="160"/>
      <c r="G280" s="160"/>
      <c r="H280" s="160"/>
      <c r="I280" s="160"/>
      <c r="J280" s="194">
        <f t="shared" si="225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33.0</v>
      </c>
      <c r="B281" s="229"/>
      <c r="C281" s="160"/>
      <c r="D281" s="160"/>
      <c r="E281" s="160"/>
      <c r="F281" s="160"/>
      <c r="G281" s="160"/>
      <c r="H281" s="160"/>
      <c r="I281" s="160"/>
      <c r="J281" s="194">
        <f t="shared" si="225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34.0</v>
      </c>
      <c r="B282" s="230"/>
      <c r="C282" s="160"/>
      <c r="D282" s="160"/>
      <c r="E282" s="160"/>
      <c r="F282" s="160"/>
      <c r="G282" s="160"/>
      <c r="H282" s="160"/>
      <c r="I282" s="160"/>
      <c r="J282" s="194">
        <f t="shared" si="225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35.0</v>
      </c>
      <c r="B283" s="231"/>
      <c r="C283" s="160"/>
      <c r="D283" s="160"/>
      <c r="E283" s="160"/>
      <c r="F283" s="160"/>
      <c r="G283" s="160"/>
      <c r="H283" s="160"/>
      <c r="I283" s="160"/>
      <c r="J283" s="194">
        <f t="shared" si="225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 t="s">
        <v>38</v>
      </c>
      <c r="I284" s="139"/>
      <c r="J284" s="232">
        <f>SUM(J257:J283)</f>
        <v>291</v>
      </c>
      <c r="K284" s="233"/>
      <c r="L284" s="233"/>
      <c r="M284" s="233"/>
      <c r="N284" s="233"/>
      <c r="O284" s="233"/>
      <c r="P284" s="233"/>
      <c r="Q284" s="233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8.75" customHeight="1">
      <c r="A285" s="144"/>
      <c r="B285" s="144"/>
      <c r="C285" s="144"/>
      <c r="D285" s="144"/>
      <c r="E285" s="144"/>
      <c r="F285" s="144"/>
      <c r="G285" s="144"/>
      <c r="H285" s="145"/>
      <c r="I285" s="173"/>
      <c r="J285" s="204">
        <f>+J284*60%</f>
        <v>174.6</v>
      </c>
      <c r="K285" s="204"/>
      <c r="L285" s="204"/>
      <c r="M285" s="204"/>
      <c r="N285" s="204"/>
      <c r="O285" s="204"/>
      <c r="P285" s="204"/>
      <c r="Q285" s="204">
        <f>+J284*40%</f>
        <v>116.4</v>
      </c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9.5" customHeight="1">
      <c r="A288" s="234" t="s">
        <v>41</v>
      </c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57.0" customHeight="1">
      <c r="A289" s="235"/>
      <c r="B289" s="236" t="s">
        <v>42</v>
      </c>
      <c r="C289" s="236" t="s">
        <v>43</v>
      </c>
      <c r="D289" s="236" t="s">
        <v>44</v>
      </c>
      <c r="E289" s="236" t="s">
        <v>45</v>
      </c>
      <c r="F289" s="236"/>
      <c r="G289" s="236"/>
      <c r="H289" s="237" t="s">
        <v>46</v>
      </c>
      <c r="I289" s="238" t="s">
        <v>47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8.75" customHeight="1">
      <c r="A290" s="239" t="s">
        <v>48</v>
      </c>
      <c r="B290" s="240">
        <f>+E25</f>
        <v>17735.62872</v>
      </c>
      <c r="C290" s="241">
        <f>+J229</f>
        <v>15473.20758</v>
      </c>
      <c r="D290" s="241">
        <f>+J250</f>
        <v>0</v>
      </c>
      <c r="E290" s="242">
        <f>J285</f>
        <v>174.6</v>
      </c>
      <c r="F290" s="242"/>
      <c r="G290" s="242"/>
      <c r="H290" s="243">
        <f>+I25</f>
        <v>1307.115837</v>
      </c>
      <c r="I290" s="244">
        <f>+B290-C290-D290-E290-H290</f>
        <v>780.7053053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245" t="s">
        <v>49</v>
      </c>
      <c r="B291" s="246"/>
      <c r="C291" s="247">
        <f>+C290/B290</f>
        <v>0.8724363721</v>
      </c>
      <c r="D291" s="247">
        <f>+D290/B290</f>
        <v>0</v>
      </c>
      <c r="E291" s="247">
        <f>+E290/B290</f>
        <v>0.009844590387</v>
      </c>
      <c r="F291" s="247"/>
      <c r="G291" s="247"/>
      <c r="H291" s="248">
        <f>+H290/B290</f>
        <v>0.0737</v>
      </c>
      <c r="I291" s="249">
        <f>+I290/B290</f>
        <v>0.04401903748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9.5" customHeight="1">
      <c r="A292" s="163"/>
      <c r="B292" s="220"/>
      <c r="C292" s="250"/>
      <c r="D292" s="250"/>
      <c r="E292" s="250"/>
      <c r="F292" s="250"/>
      <c r="G292" s="250"/>
      <c r="H292" s="251"/>
      <c r="I292" s="252"/>
      <c r="J292" s="139"/>
      <c r="K292" s="139"/>
      <c r="L292" s="139"/>
      <c r="M292" s="139"/>
      <c r="N292" s="139"/>
      <c r="O292" s="139"/>
      <c r="P292" s="139"/>
      <c r="Q292" s="139"/>
      <c r="R292" s="141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53"/>
      <c r="B293" s="254"/>
      <c r="C293" s="254"/>
      <c r="D293" s="254" t="s">
        <v>50</v>
      </c>
      <c r="E293" s="254" t="s">
        <v>48</v>
      </c>
      <c r="F293" s="254"/>
      <c r="G293" s="254"/>
      <c r="H293" s="255">
        <f>+D290+E290+H290+I290</f>
        <v>2262.421142</v>
      </c>
      <c r="I293" s="256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257"/>
      <c r="B294" s="139"/>
      <c r="C294" s="139"/>
      <c r="D294" s="139"/>
      <c r="E294" s="139" t="s">
        <v>49</v>
      </c>
      <c r="F294" s="139"/>
      <c r="G294" s="139"/>
      <c r="H294" s="251">
        <f>+H293/B290</f>
        <v>0.1275636279</v>
      </c>
      <c r="I294" s="258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257"/>
      <c r="B295" s="139"/>
      <c r="C295" s="139" t="s">
        <v>51</v>
      </c>
      <c r="D295" s="139"/>
      <c r="E295" s="139"/>
      <c r="F295" s="139"/>
      <c r="G295" s="139"/>
      <c r="H295" s="140"/>
      <c r="I295" s="258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8.75" customHeight="1">
      <c r="A296" s="257"/>
      <c r="B296" s="139"/>
      <c r="C296" s="139"/>
      <c r="D296" s="139" t="s">
        <v>52</v>
      </c>
      <c r="E296" s="139"/>
      <c r="F296" s="139"/>
      <c r="G296" s="139"/>
      <c r="H296" s="140">
        <f>+H295*(H293-H290)</f>
        <v>0</v>
      </c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9.5" customHeight="1">
      <c r="A297" s="259"/>
      <c r="B297" s="260"/>
      <c r="C297" s="260"/>
      <c r="D297" s="260"/>
      <c r="E297" s="260"/>
      <c r="F297" s="260"/>
      <c r="G297" s="260"/>
      <c r="H297" s="261"/>
      <c r="I297" s="262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5:E235"/>
    <mergeCell ref="C256:E256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205.95*69</f>
        <v>14210.55</v>
      </c>
      <c r="F8" s="156"/>
      <c r="G8" s="156"/>
      <c r="H8" s="157">
        <v>69.0</v>
      </c>
      <c r="I8" s="158">
        <f t="shared" ref="I8:I23" si="1">+D8*E8</f>
        <v>1143.949275</v>
      </c>
      <c r="J8" s="159">
        <f t="shared" ref="J8:J23" si="2">E8-I8</f>
        <v>13066.60073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115</v>
      </c>
      <c r="C9" s="154">
        <v>29.5</v>
      </c>
      <c r="D9" s="155">
        <v>0.0162</v>
      </c>
      <c r="E9" s="156">
        <f>233.28*28.6</f>
        <v>6671.808</v>
      </c>
      <c r="F9" s="156"/>
      <c r="G9" s="156"/>
      <c r="H9" s="157">
        <v>28.6</v>
      </c>
      <c r="I9" s="158">
        <f t="shared" si="1"/>
        <v>108.0832896</v>
      </c>
      <c r="J9" s="159">
        <f t="shared" si="2"/>
        <v>6563.72471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79</v>
      </c>
      <c r="C10" s="154">
        <v>16.5</v>
      </c>
      <c r="D10" s="155">
        <v>0.1057</v>
      </c>
      <c r="E10" s="156">
        <f>187.64*20.3</f>
        <v>3809.092</v>
      </c>
      <c r="F10" s="156"/>
      <c r="G10" s="156"/>
      <c r="H10" s="157">
        <v>20.3</v>
      </c>
      <c r="I10" s="158">
        <f t="shared" si="1"/>
        <v>402.6210244</v>
      </c>
      <c r="J10" s="159">
        <f t="shared" si="2"/>
        <v>3406.470976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162">
        <f>219.53*34.1</f>
        <v>7485.973</v>
      </c>
      <c r="F11" s="162"/>
      <c r="G11" s="162"/>
      <c r="H11" s="157">
        <v>34.1</v>
      </c>
      <c r="I11" s="158">
        <f t="shared" si="1"/>
        <v>633.3133158</v>
      </c>
      <c r="J11" s="159">
        <f t="shared" si="2"/>
        <v>6852.659684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32177.423</v>
      </c>
      <c r="F24" s="168"/>
      <c r="G24" s="168"/>
      <c r="H24" s="169"/>
      <c r="I24" s="170">
        <f t="shared" ref="I24:J24" si="3">SUM(I8:I23)</f>
        <v>2287.966905</v>
      </c>
      <c r="J24" s="171">
        <f t="shared" si="3"/>
        <v>29889.4561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7"/>
      <c r="B30" s="160" t="s">
        <v>12</v>
      </c>
      <c r="C30" s="178" t="s">
        <v>56</v>
      </c>
      <c r="D30" s="52"/>
      <c r="E30" s="53"/>
      <c r="F30" s="179"/>
      <c r="G30" s="179"/>
      <c r="H30" s="180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7" t="s">
        <v>18</v>
      </c>
      <c r="O30" s="139"/>
      <c r="P30" s="139"/>
      <c r="Q30" s="177" t="s">
        <v>57</v>
      </c>
      <c r="R30" s="181"/>
      <c r="S30" s="160" t="s">
        <v>17</v>
      </c>
      <c r="T30" s="160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116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1.0</v>
      </c>
      <c r="B31" s="182" t="s">
        <v>55</v>
      </c>
      <c r="C31" s="183">
        <v>86.0</v>
      </c>
      <c r="D31" s="183">
        <v>191.0</v>
      </c>
      <c r="E31" s="183">
        <v>181.0</v>
      </c>
      <c r="F31" s="183">
        <f t="shared" ref="F31:F235" si="5">VALUE(IF(RIGHT(B31, 1)="%", RIGHT(B31, 3), 0))</f>
        <v>0</v>
      </c>
      <c r="G31" s="183">
        <f t="shared" ref="G31:G235" si="6">+R31*C31/100*D31/100*E31/100</f>
        <v>66.894885</v>
      </c>
      <c r="H31" s="184">
        <f t="shared" ref="H31:H235" si="7">IF(F31=0, G31, F31*G31)</f>
        <v>66.894885</v>
      </c>
      <c r="I31" s="183">
        <v>1.0</v>
      </c>
      <c r="J31" s="185">
        <f t="shared" ref="J31:J235" si="8">+I31*H31</f>
        <v>66.894885</v>
      </c>
      <c r="K31" s="186"/>
      <c r="L31" s="187">
        <f>D31*25.4/1000</f>
        <v>4.8514</v>
      </c>
      <c r="M31" s="188">
        <f>+I31</f>
        <v>1</v>
      </c>
      <c r="N31" s="188">
        <f>M31*L31</f>
        <v>4.8514</v>
      </c>
      <c r="O31" s="186"/>
      <c r="P31" s="186"/>
      <c r="Q31" s="187">
        <v>77.0</v>
      </c>
      <c r="R31" s="189">
        <v>22.5</v>
      </c>
      <c r="S31" s="177">
        <f t="shared" ref="S31:S236" si="9">E31/100</f>
        <v>1.81</v>
      </c>
      <c r="T31" s="160">
        <f t="shared" ref="T31:T236" si="10">I31</f>
        <v>1</v>
      </c>
      <c r="U31" s="160">
        <f t="shared" ref="U31:U236" si="11">T31*S31</f>
        <v>1.81</v>
      </c>
      <c r="V31" s="190">
        <f t="shared" ref="V31:V93" si="12">R31*C31/100*D31/100*E31/100</f>
        <v>66.894885</v>
      </c>
      <c r="W31" s="177">
        <f t="shared" ref="W31:X31" si="4">C31/100</f>
        <v>0.86</v>
      </c>
      <c r="X31" s="177">
        <f t="shared" si="4"/>
        <v>1.91</v>
      </c>
      <c r="Y31" s="177">
        <f t="shared" ref="Y31:Y236" si="14">U31</f>
        <v>1.81</v>
      </c>
      <c r="Z31" s="191">
        <f t="shared" ref="Z31:Z236" si="15">W31*X31*Y31</f>
        <v>2.973106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2.0</v>
      </c>
      <c r="B32" s="192" t="s">
        <v>55</v>
      </c>
      <c r="C32" s="192">
        <v>76.0</v>
      </c>
      <c r="D32" s="192">
        <v>190.0</v>
      </c>
      <c r="E32" s="192">
        <v>150.0</v>
      </c>
      <c r="F32" s="192">
        <f t="shared" si="5"/>
        <v>0</v>
      </c>
      <c r="G32" s="192">
        <f t="shared" si="6"/>
        <v>48.735</v>
      </c>
      <c r="H32" s="193">
        <f t="shared" si="7"/>
        <v>48.735</v>
      </c>
      <c r="I32" s="192">
        <v>1.0</v>
      </c>
      <c r="J32" s="194">
        <f t="shared" si="8"/>
        <v>48.735</v>
      </c>
      <c r="K32" s="139"/>
      <c r="L32" s="177"/>
      <c r="M32" s="160"/>
      <c r="N32" s="160"/>
      <c r="O32" s="139"/>
      <c r="P32" s="139"/>
      <c r="Q32" s="177">
        <v>60.0</v>
      </c>
      <c r="R32" s="189">
        <v>22.5</v>
      </c>
      <c r="S32" s="177">
        <f t="shared" si="9"/>
        <v>1.5</v>
      </c>
      <c r="T32" s="160">
        <f t="shared" si="10"/>
        <v>1</v>
      </c>
      <c r="U32" s="160">
        <f t="shared" si="11"/>
        <v>1.5</v>
      </c>
      <c r="V32" s="190">
        <f t="shared" si="12"/>
        <v>48.735</v>
      </c>
      <c r="W32" s="177">
        <f t="shared" ref="W32:X32" si="13">C32/100</f>
        <v>0.76</v>
      </c>
      <c r="X32" s="177">
        <f t="shared" si="13"/>
        <v>1.9</v>
      </c>
      <c r="Y32" s="177">
        <f t="shared" si="14"/>
        <v>1.5</v>
      </c>
      <c r="Z32" s="191">
        <f t="shared" si="15"/>
        <v>2.166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3.0</v>
      </c>
      <c r="B33" s="192" t="s">
        <v>55</v>
      </c>
      <c r="C33" s="192">
        <v>101.0</v>
      </c>
      <c r="D33" s="192">
        <v>192.0</v>
      </c>
      <c r="E33" s="192">
        <v>63.0</v>
      </c>
      <c r="F33" s="192">
        <f t="shared" si="5"/>
        <v>0</v>
      </c>
      <c r="G33" s="192">
        <f t="shared" si="6"/>
        <v>27.48816</v>
      </c>
      <c r="H33" s="193">
        <f t="shared" si="7"/>
        <v>27.48816</v>
      </c>
      <c r="I33" s="192">
        <v>1.0</v>
      </c>
      <c r="J33" s="194">
        <f t="shared" si="8"/>
        <v>27.48816</v>
      </c>
      <c r="K33" s="139"/>
      <c r="L33" s="177">
        <f t="shared" ref="L33:L55" si="17">D33*25.4/1000</f>
        <v>4.8768</v>
      </c>
      <c r="M33" s="160">
        <f t="shared" ref="M33:M68" si="18">+I33</f>
        <v>1</v>
      </c>
      <c r="N33" s="160">
        <f t="shared" ref="N33:N55" si="19">M33*L33</f>
        <v>4.8768</v>
      </c>
      <c r="O33" s="139"/>
      <c r="P33" s="139"/>
      <c r="Q33" s="177">
        <v>43.0</v>
      </c>
      <c r="R33" s="189">
        <v>22.5</v>
      </c>
      <c r="S33" s="177">
        <f t="shared" si="9"/>
        <v>0.63</v>
      </c>
      <c r="T33" s="160">
        <f t="shared" si="10"/>
        <v>1</v>
      </c>
      <c r="U33" s="160">
        <f t="shared" si="11"/>
        <v>0.63</v>
      </c>
      <c r="V33" s="190">
        <f t="shared" si="12"/>
        <v>27.48816</v>
      </c>
      <c r="W33" s="177">
        <f t="shared" ref="W33:X33" si="16">C33/100</f>
        <v>1.01</v>
      </c>
      <c r="X33" s="177">
        <f t="shared" si="16"/>
        <v>1.92</v>
      </c>
      <c r="Y33" s="177">
        <f t="shared" si="14"/>
        <v>0.63</v>
      </c>
      <c r="Z33" s="191">
        <f t="shared" si="15"/>
        <v>1.221696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4.0</v>
      </c>
      <c r="B34" s="192" t="s">
        <v>55</v>
      </c>
      <c r="C34" s="192">
        <v>101.0</v>
      </c>
      <c r="D34" s="192">
        <v>192.0</v>
      </c>
      <c r="E34" s="192">
        <v>59.0</v>
      </c>
      <c r="F34" s="192">
        <f t="shared" si="5"/>
        <v>0</v>
      </c>
      <c r="G34" s="192">
        <f t="shared" si="6"/>
        <v>25.74288</v>
      </c>
      <c r="H34" s="193">
        <f t="shared" si="7"/>
        <v>25.74288</v>
      </c>
      <c r="I34" s="192">
        <v>1.0</v>
      </c>
      <c r="J34" s="194">
        <f t="shared" si="8"/>
        <v>25.74288</v>
      </c>
      <c r="K34" s="139"/>
      <c r="L34" s="177">
        <f t="shared" si="17"/>
        <v>4.8768</v>
      </c>
      <c r="M34" s="160">
        <f t="shared" si="18"/>
        <v>1</v>
      </c>
      <c r="N34" s="160">
        <f t="shared" si="19"/>
        <v>4.8768</v>
      </c>
      <c r="O34" s="139"/>
      <c r="P34" s="139"/>
      <c r="Q34" s="177">
        <v>43.0</v>
      </c>
      <c r="R34" s="189">
        <v>22.5</v>
      </c>
      <c r="S34" s="177">
        <f t="shared" si="9"/>
        <v>0.59</v>
      </c>
      <c r="T34" s="160">
        <f t="shared" si="10"/>
        <v>1</v>
      </c>
      <c r="U34" s="160">
        <f t="shared" si="11"/>
        <v>0.59</v>
      </c>
      <c r="V34" s="190">
        <f t="shared" si="12"/>
        <v>25.74288</v>
      </c>
      <c r="W34" s="177">
        <f t="shared" ref="W34:X34" si="20">C34/100</f>
        <v>1.01</v>
      </c>
      <c r="X34" s="177">
        <f t="shared" si="20"/>
        <v>1.92</v>
      </c>
      <c r="Y34" s="177">
        <f t="shared" si="14"/>
        <v>0.59</v>
      </c>
      <c r="Z34" s="191">
        <f t="shared" si="15"/>
        <v>1.144128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5.0</v>
      </c>
      <c r="B35" s="192" t="s">
        <v>55</v>
      </c>
      <c r="C35" s="192">
        <v>100.0</v>
      </c>
      <c r="D35" s="192">
        <v>191.0</v>
      </c>
      <c r="E35" s="192">
        <v>2875.0</v>
      </c>
      <c r="F35" s="192">
        <f t="shared" si="5"/>
        <v>0</v>
      </c>
      <c r="G35" s="192">
        <f t="shared" si="6"/>
        <v>1235.53125</v>
      </c>
      <c r="H35" s="193">
        <f t="shared" si="7"/>
        <v>1235.53125</v>
      </c>
      <c r="I35" s="192">
        <v>1.0</v>
      </c>
      <c r="J35" s="194">
        <f t="shared" si="8"/>
        <v>1235.53125</v>
      </c>
      <c r="K35" s="139"/>
      <c r="L35" s="177">
        <f t="shared" si="17"/>
        <v>4.8514</v>
      </c>
      <c r="M35" s="160">
        <f t="shared" si="18"/>
        <v>1</v>
      </c>
      <c r="N35" s="160">
        <f t="shared" si="19"/>
        <v>4.8514</v>
      </c>
      <c r="O35" s="139"/>
      <c r="P35" s="139"/>
      <c r="Q35" s="177">
        <v>1235.0</v>
      </c>
      <c r="R35" s="189">
        <v>22.5</v>
      </c>
      <c r="S35" s="177">
        <f t="shared" si="9"/>
        <v>28.75</v>
      </c>
      <c r="T35" s="160">
        <f t="shared" si="10"/>
        <v>1</v>
      </c>
      <c r="U35" s="160">
        <f t="shared" si="11"/>
        <v>28.75</v>
      </c>
      <c r="V35" s="190">
        <f t="shared" si="12"/>
        <v>1235.53125</v>
      </c>
      <c r="W35" s="177">
        <f t="shared" ref="W35:X35" si="21">C35/100</f>
        <v>1</v>
      </c>
      <c r="X35" s="177">
        <f t="shared" si="21"/>
        <v>1.91</v>
      </c>
      <c r="Y35" s="177">
        <f t="shared" si="14"/>
        <v>28.75</v>
      </c>
      <c r="Z35" s="191">
        <f t="shared" si="15"/>
        <v>54.9125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6.0</v>
      </c>
      <c r="B36" s="192" t="s">
        <v>55</v>
      </c>
      <c r="C36" s="192">
        <v>101.0</v>
      </c>
      <c r="D36" s="192">
        <v>191.0</v>
      </c>
      <c r="E36" s="192">
        <v>2870.0</v>
      </c>
      <c r="F36" s="192">
        <f t="shared" si="5"/>
        <v>0</v>
      </c>
      <c r="G36" s="192">
        <f t="shared" si="6"/>
        <v>1245.716325</v>
      </c>
      <c r="H36" s="193">
        <f t="shared" si="7"/>
        <v>1245.716325</v>
      </c>
      <c r="I36" s="192">
        <v>1.0</v>
      </c>
      <c r="J36" s="194">
        <f t="shared" si="8"/>
        <v>1245.716325</v>
      </c>
      <c r="K36" s="139"/>
      <c r="L36" s="177">
        <f t="shared" si="17"/>
        <v>4.8514</v>
      </c>
      <c r="M36" s="160">
        <f t="shared" si="18"/>
        <v>1</v>
      </c>
      <c r="N36" s="160">
        <f t="shared" si="19"/>
        <v>4.8514</v>
      </c>
      <c r="O36" s="139"/>
      <c r="P36" s="139"/>
      <c r="Q36" s="177">
        <v>1250.0</v>
      </c>
      <c r="R36" s="189">
        <v>22.5</v>
      </c>
      <c r="S36" s="177">
        <f t="shared" si="9"/>
        <v>28.7</v>
      </c>
      <c r="T36" s="160">
        <f t="shared" si="10"/>
        <v>1</v>
      </c>
      <c r="U36" s="160">
        <f t="shared" si="11"/>
        <v>28.7</v>
      </c>
      <c r="V36" s="190">
        <f t="shared" si="12"/>
        <v>1245.716325</v>
      </c>
      <c r="W36" s="177">
        <f t="shared" ref="W36:X36" si="22">C36/100</f>
        <v>1.01</v>
      </c>
      <c r="X36" s="177">
        <f t="shared" si="22"/>
        <v>1.91</v>
      </c>
      <c r="Y36" s="177">
        <f t="shared" si="14"/>
        <v>28.7</v>
      </c>
      <c r="Z36" s="191">
        <f t="shared" si="15"/>
        <v>55.36517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7.0</v>
      </c>
      <c r="B37" s="192" t="s">
        <v>55</v>
      </c>
      <c r="C37" s="192">
        <v>99.0</v>
      </c>
      <c r="D37" s="192">
        <v>191.0</v>
      </c>
      <c r="E37" s="192">
        <v>2877.0</v>
      </c>
      <c r="F37" s="192">
        <f t="shared" si="5"/>
        <v>0</v>
      </c>
      <c r="G37" s="192">
        <f t="shared" si="6"/>
        <v>1224.026843</v>
      </c>
      <c r="H37" s="193">
        <f t="shared" si="7"/>
        <v>1224.026843</v>
      </c>
      <c r="I37" s="192">
        <v>1.0</v>
      </c>
      <c r="J37" s="194">
        <f t="shared" si="8"/>
        <v>1224.026843</v>
      </c>
      <c r="K37" s="139"/>
      <c r="L37" s="177">
        <f t="shared" si="17"/>
        <v>4.8514</v>
      </c>
      <c r="M37" s="160">
        <f t="shared" si="18"/>
        <v>1</v>
      </c>
      <c r="N37" s="160">
        <f t="shared" si="19"/>
        <v>4.8514</v>
      </c>
      <c r="O37" s="139"/>
      <c r="P37" s="139"/>
      <c r="Q37" s="177">
        <v>1250.0</v>
      </c>
      <c r="R37" s="189">
        <v>22.5</v>
      </c>
      <c r="S37" s="177">
        <f t="shared" si="9"/>
        <v>28.77</v>
      </c>
      <c r="T37" s="160">
        <f t="shared" si="10"/>
        <v>1</v>
      </c>
      <c r="U37" s="160">
        <f t="shared" si="11"/>
        <v>28.77</v>
      </c>
      <c r="V37" s="190">
        <f t="shared" si="12"/>
        <v>1224.026843</v>
      </c>
      <c r="W37" s="177">
        <f t="shared" ref="W37:X37" si="23">C37/100</f>
        <v>0.99</v>
      </c>
      <c r="X37" s="177">
        <f t="shared" si="23"/>
        <v>1.91</v>
      </c>
      <c r="Y37" s="177">
        <f t="shared" si="14"/>
        <v>28.77</v>
      </c>
      <c r="Z37" s="191">
        <f t="shared" si="15"/>
        <v>54.401193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8.0</v>
      </c>
      <c r="B38" s="192" t="s">
        <v>55</v>
      </c>
      <c r="C38" s="192">
        <v>101.0</v>
      </c>
      <c r="D38" s="192">
        <v>191.0</v>
      </c>
      <c r="E38" s="192">
        <v>2875.0</v>
      </c>
      <c r="F38" s="192">
        <f t="shared" si="5"/>
        <v>0</v>
      </c>
      <c r="G38" s="192">
        <f t="shared" si="6"/>
        <v>1247.886563</v>
      </c>
      <c r="H38" s="193">
        <f t="shared" si="7"/>
        <v>1247.886563</v>
      </c>
      <c r="I38" s="192">
        <v>1.0</v>
      </c>
      <c r="J38" s="194">
        <f t="shared" si="8"/>
        <v>1247.886563</v>
      </c>
      <c r="K38" s="139"/>
      <c r="L38" s="177">
        <f t="shared" si="17"/>
        <v>4.8514</v>
      </c>
      <c r="M38" s="160">
        <f t="shared" si="18"/>
        <v>1</v>
      </c>
      <c r="N38" s="160">
        <f t="shared" si="19"/>
        <v>4.8514</v>
      </c>
      <c r="O38" s="139"/>
      <c r="P38" s="139"/>
      <c r="Q38" s="177">
        <v>1240.0</v>
      </c>
      <c r="R38" s="189">
        <v>22.5</v>
      </c>
      <c r="S38" s="177">
        <f t="shared" si="9"/>
        <v>28.75</v>
      </c>
      <c r="T38" s="160">
        <f t="shared" si="10"/>
        <v>1</v>
      </c>
      <c r="U38" s="160">
        <f t="shared" si="11"/>
        <v>28.75</v>
      </c>
      <c r="V38" s="190">
        <f t="shared" si="12"/>
        <v>1247.886563</v>
      </c>
      <c r="W38" s="177">
        <f t="shared" ref="W38:X38" si="24">C38/100</f>
        <v>1.01</v>
      </c>
      <c r="X38" s="177">
        <f t="shared" si="24"/>
        <v>1.91</v>
      </c>
      <c r="Y38" s="177">
        <f t="shared" si="14"/>
        <v>28.75</v>
      </c>
      <c r="Z38" s="191">
        <f t="shared" si="15"/>
        <v>55.461625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9.0</v>
      </c>
      <c r="B39" s="192" t="s">
        <v>55</v>
      </c>
      <c r="C39" s="192">
        <v>99.0</v>
      </c>
      <c r="D39" s="192">
        <v>191.0</v>
      </c>
      <c r="E39" s="192">
        <v>2870.0</v>
      </c>
      <c r="F39" s="192">
        <f t="shared" si="5"/>
        <v>0</v>
      </c>
      <c r="G39" s="192">
        <f t="shared" si="6"/>
        <v>1221.048675</v>
      </c>
      <c r="H39" s="193">
        <f t="shared" si="7"/>
        <v>1221.048675</v>
      </c>
      <c r="I39" s="192">
        <v>1.0</v>
      </c>
      <c r="J39" s="194">
        <f t="shared" si="8"/>
        <v>1221.048675</v>
      </c>
      <c r="K39" s="139"/>
      <c r="L39" s="177">
        <f t="shared" si="17"/>
        <v>4.8514</v>
      </c>
      <c r="M39" s="160">
        <f t="shared" si="18"/>
        <v>1</v>
      </c>
      <c r="N39" s="160">
        <f t="shared" si="19"/>
        <v>4.8514</v>
      </c>
      <c r="O39" s="139"/>
      <c r="P39" s="139"/>
      <c r="Q39" s="177">
        <v>1255.0</v>
      </c>
      <c r="R39" s="189">
        <v>22.5</v>
      </c>
      <c r="S39" s="177">
        <f t="shared" si="9"/>
        <v>28.7</v>
      </c>
      <c r="T39" s="160">
        <f t="shared" si="10"/>
        <v>1</v>
      </c>
      <c r="U39" s="160">
        <f t="shared" si="11"/>
        <v>28.7</v>
      </c>
      <c r="V39" s="190">
        <f t="shared" si="12"/>
        <v>1221.048675</v>
      </c>
      <c r="W39" s="177">
        <f t="shared" ref="W39:X39" si="25">C39/100</f>
        <v>0.99</v>
      </c>
      <c r="X39" s="177">
        <f t="shared" si="25"/>
        <v>1.91</v>
      </c>
      <c r="Y39" s="177">
        <f t="shared" si="14"/>
        <v>28.7</v>
      </c>
      <c r="Z39" s="191">
        <f t="shared" si="15"/>
        <v>54.26883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10.0</v>
      </c>
      <c r="B40" s="192" t="s">
        <v>55</v>
      </c>
      <c r="C40" s="192">
        <v>101.0</v>
      </c>
      <c r="D40" s="192">
        <v>191.0</v>
      </c>
      <c r="E40" s="192">
        <v>2870.0</v>
      </c>
      <c r="F40" s="192">
        <f t="shared" si="5"/>
        <v>0</v>
      </c>
      <c r="G40" s="192">
        <f t="shared" si="6"/>
        <v>1245.716325</v>
      </c>
      <c r="H40" s="193">
        <f t="shared" si="7"/>
        <v>1245.716325</v>
      </c>
      <c r="I40" s="192">
        <v>1.0</v>
      </c>
      <c r="J40" s="194">
        <f t="shared" si="8"/>
        <v>1245.716325</v>
      </c>
      <c r="K40" s="139"/>
      <c r="L40" s="177">
        <f t="shared" si="17"/>
        <v>4.8514</v>
      </c>
      <c r="M40" s="160">
        <f t="shared" si="18"/>
        <v>1</v>
      </c>
      <c r="N40" s="160">
        <f t="shared" si="19"/>
        <v>4.8514</v>
      </c>
      <c r="O40" s="139"/>
      <c r="P40" s="139"/>
      <c r="Q40" s="177">
        <v>1240.0</v>
      </c>
      <c r="R40" s="189">
        <v>22.5</v>
      </c>
      <c r="S40" s="177">
        <f t="shared" si="9"/>
        <v>28.7</v>
      </c>
      <c r="T40" s="160">
        <f t="shared" si="10"/>
        <v>1</v>
      </c>
      <c r="U40" s="160">
        <f t="shared" si="11"/>
        <v>28.7</v>
      </c>
      <c r="V40" s="190">
        <f t="shared" si="12"/>
        <v>1245.716325</v>
      </c>
      <c r="W40" s="177">
        <f t="shared" ref="W40:X40" si="26">C40/100</f>
        <v>1.01</v>
      </c>
      <c r="X40" s="177">
        <f t="shared" si="26"/>
        <v>1.91</v>
      </c>
      <c r="Y40" s="177">
        <f t="shared" si="14"/>
        <v>28.7</v>
      </c>
      <c r="Z40" s="191">
        <f t="shared" si="15"/>
        <v>55.36517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11.0</v>
      </c>
      <c r="B41" s="192" t="s">
        <v>55</v>
      </c>
      <c r="C41" s="192">
        <v>101.0</v>
      </c>
      <c r="D41" s="192">
        <v>191.0</v>
      </c>
      <c r="E41" s="192">
        <v>2875.0</v>
      </c>
      <c r="F41" s="192">
        <f t="shared" si="5"/>
        <v>0</v>
      </c>
      <c r="G41" s="192">
        <f t="shared" si="6"/>
        <v>1247.886563</v>
      </c>
      <c r="H41" s="193">
        <f t="shared" si="7"/>
        <v>1247.886563</v>
      </c>
      <c r="I41" s="192">
        <v>1.0</v>
      </c>
      <c r="J41" s="194">
        <f t="shared" si="8"/>
        <v>1247.886563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1245.0</v>
      </c>
      <c r="R41" s="189">
        <v>22.5</v>
      </c>
      <c r="S41" s="177">
        <f t="shared" si="9"/>
        <v>28.75</v>
      </c>
      <c r="T41" s="160">
        <f t="shared" si="10"/>
        <v>1</v>
      </c>
      <c r="U41" s="160">
        <f t="shared" si="11"/>
        <v>28.75</v>
      </c>
      <c r="V41" s="190">
        <f t="shared" si="12"/>
        <v>1247.886563</v>
      </c>
      <c r="W41" s="177">
        <f t="shared" ref="W41:X41" si="27">C41/100</f>
        <v>1.01</v>
      </c>
      <c r="X41" s="177">
        <f t="shared" si="27"/>
        <v>1.91</v>
      </c>
      <c r="Y41" s="177">
        <f t="shared" si="14"/>
        <v>28.75</v>
      </c>
      <c r="Z41" s="191">
        <f t="shared" si="15"/>
        <v>55.461625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12.0</v>
      </c>
      <c r="B42" s="192" t="s">
        <v>55</v>
      </c>
      <c r="C42" s="192">
        <v>101.0</v>
      </c>
      <c r="D42" s="192">
        <v>191.0</v>
      </c>
      <c r="E42" s="192">
        <v>2876.0</v>
      </c>
      <c r="F42" s="192">
        <f t="shared" si="5"/>
        <v>0</v>
      </c>
      <c r="G42" s="192">
        <f t="shared" si="6"/>
        <v>1248.32061</v>
      </c>
      <c r="H42" s="193">
        <f t="shared" si="7"/>
        <v>1248.32061</v>
      </c>
      <c r="I42" s="192">
        <v>1.0</v>
      </c>
      <c r="J42" s="194">
        <f t="shared" si="8"/>
        <v>1248.32061</v>
      </c>
      <c r="K42" s="139"/>
      <c r="L42" s="177">
        <f t="shared" si="17"/>
        <v>4.8514</v>
      </c>
      <c r="M42" s="160">
        <f t="shared" si="18"/>
        <v>1</v>
      </c>
      <c r="N42" s="160">
        <f t="shared" si="19"/>
        <v>4.8514</v>
      </c>
      <c r="O42" s="139"/>
      <c r="P42" s="139"/>
      <c r="Q42" s="177">
        <v>1235.0</v>
      </c>
      <c r="R42" s="189">
        <v>22.5</v>
      </c>
      <c r="S42" s="177">
        <f t="shared" si="9"/>
        <v>28.76</v>
      </c>
      <c r="T42" s="160">
        <f t="shared" si="10"/>
        <v>1</v>
      </c>
      <c r="U42" s="160">
        <f t="shared" si="11"/>
        <v>28.76</v>
      </c>
      <c r="V42" s="190">
        <f t="shared" si="12"/>
        <v>1248.32061</v>
      </c>
      <c r="W42" s="177">
        <f t="shared" ref="W42:X42" si="28">C42/100</f>
        <v>1.01</v>
      </c>
      <c r="X42" s="177">
        <f t="shared" si="28"/>
        <v>1.91</v>
      </c>
      <c r="Y42" s="177">
        <f t="shared" si="14"/>
        <v>28.76</v>
      </c>
      <c r="Z42" s="191">
        <f t="shared" si="15"/>
        <v>55.480916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13.0</v>
      </c>
      <c r="B43" s="192" t="s">
        <v>55</v>
      </c>
      <c r="C43" s="192">
        <v>103.0</v>
      </c>
      <c r="D43" s="192">
        <v>191.0</v>
      </c>
      <c r="E43" s="192">
        <v>2878.0</v>
      </c>
      <c r="F43" s="192">
        <f t="shared" si="5"/>
        <v>0</v>
      </c>
      <c r="G43" s="192">
        <f t="shared" si="6"/>
        <v>1273.925115</v>
      </c>
      <c r="H43" s="193">
        <f t="shared" si="7"/>
        <v>1273.925115</v>
      </c>
      <c r="I43" s="192">
        <v>1.0</v>
      </c>
      <c r="J43" s="194">
        <f t="shared" si="8"/>
        <v>1273.925115</v>
      </c>
      <c r="K43" s="139"/>
      <c r="L43" s="177">
        <f t="shared" si="17"/>
        <v>4.8514</v>
      </c>
      <c r="M43" s="160">
        <f t="shared" si="18"/>
        <v>1</v>
      </c>
      <c r="N43" s="160">
        <f t="shared" si="19"/>
        <v>4.8514</v>
      </c>
      <c r="O43" s="139"/>
      <c r="P43" s="139"/>
      <c r="Q43" s="177">
        <v>1240.0</v>
      </c>
      <c r="R43" s="189">
        <v>22.5</v>
      </c>
      <c r="S43" s="177">
        <f t="shared" si="9"/>
        <v>28.78</v>
      </c>
      <c r="T43" s="160">
        <f t="shared" si="10"/>
        <v>1</v>
      </c>
      <c r="U43" s="160">
        <f t="shared" si="11"/>
        <v>28.78</v>
      </c>
      <c r="V43" s="190">
        <f t="shared" si="12"/>
        <v>1273.925115</v>
      </c>
      <c r="W43" s="177">
        <f t="shared" ref="W43:X43" si="29">C43/100</f>
        <v>1.03</v>
      </c>
      <c r="X43" s="177">
        <f t="shared" si="29"/>
        <v>1.91</v>
      </c>
      <c r="Y43" s="177">
        <f t="shared" si="14"/>
        <v>28.78</v>
      </c>
      <c r="Z43" s="191">
        <f t="shared" si="15"/>
        <v>56.618894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14.0</v>
      </c>
      <c r="B44" s="192" t="s">
        <v>55</v>
      </c>
      <c r="C44" s="192">
        <v>101.0</v>
      </c>
      <c r="D44" s="192">
        <v>191.0</v>
      </c>
      <c r="E44" s="192">
        <v>2878.0</v>
      </c>
      <c r="F44" s="192">
        <f t="shared" si="5"/>
        <v>0</v>
      </c>
      <c r="G44" s="192">
        <f t="shared" si="6"/>
        <v>1249.188705</v>
      </c>
      <c r="H44" s="193">
        <f t="shared" si="7"/>
        <v>1249.188705</v>
      </c>
      <c r="I44" s="192">
        <v>1.0</v>
      </c>
      <c r="J44" s="194">
        <f t="shared" si="8"/>
        <v>1249.188705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1245.0</v>
      </c>
      <c r="R44" s="189">
        <v>22.5</v>
      </c>
      <c r="S44" s="177">
        <f t="shared" si="9"/>
        <v>28.78</v>
      </c>
      <c r="T44" s="160">
        <f t="shared" si="10"/>
        <v>1</v>
      </c>
      <c r="U44" s="160">
        <f t="shared" si="11"/>
        <v>28.78</v>
      </c>
      <c r="V44" s="190">
        <f t="shared" si="12"/>
        <v>1249.188705</v>
      </c>
      <c r="W44" s="177">
        <f t="shared" ref="W44:X44" si="30">C44/100</f>
        <v>1.01</v>
      </c>
      <c r="X44" s="177">
        <f t="shared" si="30"/>
        <v>1.91</v>
      </c>
      <c r="Y44" s="177">
        <f t="shared" si="14"/>
        <v>28.78</v>
      </c>
      <c r="Z44" s="191">
        <f t="shared" si="15"/>
        <v>55.519498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15.0</v>
      </c>
      <c r="B45" s="182" t="s">
        <v>115</v>
      </c>
      <c r="C45" s="183">
        <v>95.0</v>
      </c>
      <c r="D45" s="183">
        <v>185.0</v>
      </c>
      <c r="E45" s="183">
        <v>180.0</v>
      </c>
      <c r="F45" s="183">
        <f t="shared" si="5"/>
        <v>0</v>
      </c>
      <c r="G45" s="183">
        <f t="shared" si="6"/>
        <v>93.32325</v>
      </c>
      <c r="H45" s="184">
        <f t="shared" si="7"/>
        <v>93.32325</v>
      </c>
      <c r="I45" s="183">
        <v>1.0</v>
      </c>
      <c r="J45" s="185">
        <f t="shared" si="8"/>
        <v>93.32325</v>
      </c>
      <c r="K45" s="186"/>
      <c r="L45" s="187">
        <f t="shared" si="17"/>
        <v>4.699</v>
      </c>
      <c r="M45" s="188">
        <f t="shared" si="18"/>
        <v>1</v>
      </c>
      <c r="N45" s="188">
        <f t="shared" si="19"/>
        <v>4.699</v>
      </c>
      <c r="O45" s="186"/>
      <c r="P45" s="186"/>
      <c r="Q45" s="187">
        <v>98.0</v>
      </c>
      <c r="R45" s="189">
        <v>29.5</v>
      </c>
      <c r="S45" s="177">
        <f t="shared" si="9"/>
        <v>1.8</v>
      </c>
      <c r="T45" s="160">
        <f t="shared" si="10"/>
        <v>1</v>
      </c>
      <c r="U45" s="160">
        <f t="shared" si="11"/>
        <v>1.8</v>
      </c>
      <c r="V45" s="190">
        <f t="shared" si="12"/>
        <v>93.32325</v>
      </c>
      <c r="W45" s="177">
        <f t="shared" ref="W45:X45" si="31">C45/100</f>
        <v>0.95</v>
      </c>
      <c r="X45" s="177">
        <f t="shared" si="31"/>
        <v>1.85</v>
      </c>
      <c r="Y45" s="177">
        <f t="shared" si="14"/>
        <v>1.8</v>
      </c>
      <c r="Z45" s="191">
        <f t="shared" si="15"/>
        <v>3.1635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16.0</v>
      </c>
      <c r="B46" s="192" t="s">
        <v>115</v>
      </c>
      <c r="C46" s="192">
        <v>72.0</v>
      </c>
      <c r="D46" s="192">
        <v>185.0</v>
      </c>
      <c r="E46" s="192">
        <v>60.0</v>
      </c>
      <c r="F46" s="192">
        <f t="shared" si="5"/>
        <v>0</v>
      </c>
      <c r="G46" s="192">
        <f t="shared" si="6"/>
        <v>23.5764</v>
      </c>
      <c r="H46" s="193">
        <f t="shared" si="7"/>
        <v>23.5764</v>
      </c>
      <c r="I46" s="192">
        <v>1.0</v>
      </c>
      <c r="J46" s="194">
        <f t="shared" si="8"/>
        <v>23.5764</v>
      </c>
      <c r="K46" s="139"/>
      <c r="L46" s="177">
        <f t="shared" si="17"/>
        <v>4.699</v>
      </c>
      <c r="M46" s="160">
        <f t="shared" si="18"/>
        <v>1</v>
      </c>
      <c r="N46" s="160">
        <f t="shared" si="19"/>
        <v>4.699</v>
      </c>
      <c r="O46" s="139"/>
      <c r="P46" s="139"/>
      <c r="Q46" s="177">
        <v>38.0</v>
      </c>
      <c r="R46" s="189">
        <v>29.5</v>
      </c>
      <c r="S46" s="177">
        <f t="shared" si="9"/>
        <v>0.6</v>
      </c>
      <c r="T46" s="160">
        <f t="shared" si="10"/>
        <v>1</v>
      </c>
      <c r="U46" s="160">
        <f t="shared" si="11"/>
        <v>0.6</v>
      </c>
      <c r="V46" s="190">
        <f t="shared" si="12"/>
        <v>23.5764</v>
      </c>
      <c r="W46" s="177">
        <f t="shared" ref="W46:X46" si="32">C46/100</f>
        <v>0.72</v>
      </c>
      <c r="X46" s="177">
        <f t="shared" si="32"/>
        <v>1.85</v>
      </c>
      <c r="Y46" s="177">
        <f t="shared" si="14"/>
        <v>0.6</v>
      </c>
      <c r="Z46" s="191">
        <f t="shared" si="15"/>
        <v>0.7992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17.0</v>
      </c>
      <c r="B47" s="192" t="s">
        <v>115</v>
      </c>
      <c r="C47" s="192">
        <v>100.0</v>
      </c>
      <c r="D47" s="192">
        <v>184.0</v>
      </c>
      <c r="E47" s="192">
        <v>68.0</v>
      </c>
      <c r="F47" s="192">
        <f t="shared" si="5"/>
        <v>0</v>
      </c>
      <c r="G47" s="192">
        <f t="shared" si="6"/>
        <v>36.9104</v>
      </c>
      <c r="H47" s="193">
        <f t="shared" si="7"/>
        <v>36.9104</v>
      </c>
      <c r="I47" s="192">
        <v>1.0</v>
      </c>
      <c r="J47" s="194">
        <f t="shared" si="8"/>
        <v>36.9104</v>
      </c>
      <c r="K47" s="139"/>
      <c r="L47" s="177">
        <f t="shared" si="17"/>
        <v>4.6736</v>
      </c>
      <c r="M47" s="160">
        <f t="shared" si="18"/>
        <v>1</v>
      </c>
      <c r="N47" s="160">
        <f t="shared" si="19"/>
        <v>4.6736</v>
      </c>
      <c r="O47" s="139"/>
      <c r="P47" s="139"/>
      <c r="Q47" s="177">
        <v>55.0</v>
      </c>
      <c r="R47" s="189">
        <v>29.5</v>
      </c>
      <c r="S47" s="177">
        <f t="shared" si="9"/>
        <v>0.68</v>
      </c>
      <c r="T47" s="160">
        <f t="shared" si="10"/>
        <v>1</v>
      </c>
      <c r="U47" s="160">
        <f t="shared" si="11"/>
        <v>0.68</v>
      </c>
      <c r="V47" s="190">
        <f t="shared" si="12"/>
        <v>36.9104</v>
      </c>
      <c r="W47" s="177">
        <f t="shared" ref="W47:X47" si="33">C47/100</f>
        <v>1</v>
      </c>
      <c r="X47" s="177">
        <f t="shared" si="33"/>
        <v>1.84</v>
      </c>
      <c r="Y47" s="177">
        <f t="shared" si="14"/>
        <v>0.68</v>
      </c>
      <c r="Z47" s="191">
        <f t="shared" si="15"/>
        <v>1.2512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18.0</v>
      </c>
      <c r="B48" s="192" t="s">
        <v>115</v>
      </c>
      <c r="C48" s="192">
        <v>100.0</v>
      </c>
      <c r="D48" s="192">
        <v>184.0</v>
      </c>
      <c r="E48" s="192">
        <v>59.0</v>
      </c>
      <c r="F48" s="192">
        <f t="shared" si="5"/>
        <v>0</v>
      </c>
      <c r="G48" s="192">
        <f t="shared" si="6"/>
        <v>32.0252</v>
      </c>
      <c r="H48" s="193">
        <f t="shared" si="7"/>
        <v>32.0252</v>
      </c>
      <c r="I48" s="192">
        <v>1.0</v>
      </c>
      <c r="J48" s="194">
        <f t="shared" si="8"/>
        <v>32.0252</v>
      </c>
      <c r="K48" s="139"/>
      <c r="L48" s="177">
        <f t="shared" si="17"/>
        <v>4.6736</v>
      </c>
      <c r="M48" s="160">
        <f t="shared" si="18"/>
        <v>1</v>
      </c>
      <c r="N48" s="160">
        <f t="shared" si="19"/>
        <v>4.6736</v>
      </c>
      <c r="O48" s="139"/>
      <c r="P48" s="139"/>
      <c r="Q48" s="177">
        <v>55.0</v>
      </c>
      <c r="R48" s="189">
        <v>29.5</v>
      </c>
      <c r="S48" s="177">
        <f t="shared" si="9"/>
        <v>0.59</v>
      </c>
      <c r="T48" s="160">
        <f t="shared" si="10"/>
        <v>1</v>
      </c>
      <c r="U48" s="160">
        <f t="shared" si="11"/>
        <v>0.59</v>
      </c>
      <c r="V48" s="190">
        <f t="shared" si="12"/>
        <v>32.0252</v>
      </c>
      <c r="W48" s="177">
        <f t="shared" ref="W48:X48" si="34">C48/100</f>
        <v>1</v>
      </c>
      <c r="X48" s="177">
        <f t="shared" si="34"/>
        <v>1.84</v>
      </c>
      <c r="Y48" s="177">
        <f t="shared" si="14"/>
        <v>0.59</v>
      </c>
      <c r="Z48" s="191">
        <f t="shared" si="15"/>
        <v>1.0856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19.0</v>
      </c>
      <c r="B49" s="192" t="s">
        <v>115</v>
      </c>
      <c r="C49" s="192">
        <v>104.0</v>
      </c>
      <c r="D49" s="192">
        <v>184.0</v>
      </c>
      <c r="E49" s="192">
        <v>2878.0</v>
      </c>
      <c r="F49" s="192">
        <f t="shared" si="5"/>
        <v>0</v>
      </c>
      <c r="G49" s="192">
        <f t="shared" si="6"/>
        <v>1624.665536</v>
      </c>
      <c r="H49" s="193">
        <f t="shared" si="7"/>
        <v>1624.665536</v>
      </c>
      <c r="I49" s="192">
        <v>1.0</v>
      </c>
      <c r="J49" s="194">
        <f t="shared" si="8"/>
        <v>1624.665536</v>
      </c>
      <c r="K49" s="139"/>
      <c r="L49" s="177">
        <f t="shared" si="17"/>
        <v>4.6736</v>
      </c>
      <c r="M49" s="160">
        <f t="shared" si="18"/>
        <v>1</v>
      </c>
      <c r="N49" s="160">
        <f t="shared" si="19"/>
        <v>4.6736</v>
      </c>
      <c r="O49" s="139"/>
      <c r="P49" s="139"/>
      <c r="Q49" s="177">
        <v>1560.0</v>
      </c>
      <c r="R49" s="189">
        <v>29.5</v>
      </c>
      <c r="S49" s="177">
        <f t="shared" si="9"/>
        <v>28.78</v>
      </c>
      <c r="T49" s="160">
        <f t="shared" si="10"/>
        <v>1</v>
      </c>
      <c r="U49" s="160">
        <f t="shared" si="11"/>
        <v>28.78</v>
      </c>
      <c r="V49" s="190">
        <f t="shared" si="12"/>
        <v>1624.665536</v>
      </c>
      <c r="W49" s="177">
        <f t="shared" ref="W49:X49" si="35">C49/100</f>
        <v>1.04</v>
      </c>
      <c r="X49" s="177">
        <f t="shared" si="35"/>
        <v>1.84</v>
      </c>
      <c r="Y49" s="177">
        <f t="shared" si="14"/>
        <v>28.78</v>
      </c>
      <c r="Z49" s="191">
        <f t="shared" si="15"/>
        <v>55.073408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20.0</v>
      </c>
      <c r="B50" s="192" t="s">
        <v>115</v>
      </c>
      <c r="C50" s="192">
        <v>100.0</v>
      </c>
      <c r="D50" s="192">
        <v>184.0</v>
      </c>
      <c r="E50" s="192">
        <v>2616.0</v>
      </c>
      <c r="F50" s="192">
        <f t="shared" si="5"/>
        <v>0</v>
      </c>
      <c r="G50" s="192">
        <f t="shared" si="6"/>
        <v>1419.9648</v>
      </c>
      <c r="H50" s="193">
        <f t="shared" si="7"/>
        <v>1419.9648</v>
      </c>
      <c r="I50" s="192">
        <v>1.0</v>
      </c>
      <c r="J50" s="194">
        <f t="shared" si="8"/>
        <v>1419.9648</v>
      </c>
      <c r="K50" s="139"/>
      <c r="L50" s="177">
        <f t="shared" si="17"/>
        <v>4.6736</v>
      </c>
      <c r="M50" s="160">
        <f t="shared" si="18"/>
        <v>1</v>
      </c>
      <c r="N50" s="160">
        <f t="shared" si="19"/>
        <v>4.6736</v>
      </c>
      <c r="O50" s="139"/>
      <c r="P50" s="139"/>
      <c r="Q50" s="177">
        <v>1410.0</v>
      </c>
      <c r="R50" s="189">
        <v>29.5</v>
      </c>
      <c r="S50" s="177">
        <f t="shared" si="9"/>
        <v>26.16</v>
      </c>
      <c r="T50" s="160">
        <f t="shared" si="10"/>
        <v>1</v>
      </c>
      <c r="U50" s="160">
        <f t="shared" si="11"/>
        <v>26.16</v>
      </c>
      <c r="V50" s="190">
        <f t="shared" si="12"/>
        <v>1419.9648</v>
      </c>
      <c r="W50" s="177">
        <f t="shared" ref="W50:X50" si="36">C50/100</f>
        <v>1</v>
      </c>
      <c r="X50" s="177">
        <f t="shared" si="36"/>
        <v>1.84</v>
      </c>
      <c r="Y50" s="177">
        <f t="shared" si="14"/>
        <v>26.16</v>
      </c>
      <c r="Z50" s="191">
        <f t="shared" si="15"/>
        <v>48.1344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21.0</v>
      </c>
      <c r="B51" s="192" t="s">
        <v>115</v>
      </c>
      <c r="C51" s="192">
        <v>100.0</v>
      </c>
      <c r="D51" s="192">
        <v>184.0</v>
      </c>
      <c r="E51" s="192">
        <v>2868.0</v>
      </c>
      <c r="F51" s="192">
        <f t="shared" si="5"/>
        <v>0</v>
      </c>
      <c r="G51" s="192">
        <f t="shared" si="6"/>
        <v>1556.7504</v>
      </c>
      <c r="H51" s="193">
        <f t="shared" si="7"/>
        <v>1556.7504</v>
      </c>
      <c r="I51" s="192">
        <v>1.0</v>
      </c>
      <c r="J51" s="194">
        <f t="shared" si="8"/>
        <v>1556.7504</v>
      </c>
      <c r="K51" s="139"/>
      <c r="L51" s="177">
        <f t="shared" si="17"/>
        <v>4.6736</v>
      </c>
      <c r="M51" s="160">
        <f t="shared" si="18"/>
        <v>1</v>
      </c>
      <c r="N51" s="160">
        <f t="shared" si="19"/>
        <v>4.6736</v>
      </c>
      <c r="O51" s="139"/>
      <c r="P51" s="139"/>
      <c r="Q51" s="177">
        <v>1550.0</v>
      </c>
      <c r="R51" s="189">
        <v>29.5</v>
      </c>
      <c r="S51" s="177">
        <f t="shared" si="9"/>
        <v>28.68</v>
      </c>
      <c r="T51" s="160">
        <f t="shared" si="10"/>
        <v>1</v>
      </c>
      <c r="U51" s="160">
        <f t="shared" si="11"/>
        <v>28.68</v>
      </c>
      <c r="V51" s="190">
        <f t="shared" si="12"/>
        <v>1556.7504</v>
      </c>
      <c r="W51" s="177">
        <f t="shared" ref="W51:X51" si="37">C51/100</f>
        <v>1</v>
      </c>
      <c r="X51" s="177">
        <f t="shared" si="37"/>
        <v>1.84</v>
      </c>
      <c r="Y51" s="177">
        <f t="shared" si="14"/>
        <v>28.68</v>
      </c>
      <c r="Z51" s="191">
        <f t="shared" si="15"/>
        <v>52.7712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22.0</v>
      </c>
      <c r="B52" s="192" t="s">
        <v>115</v>
      </c>
      <c r="C52" s="192">
        <v>100.0</v>
      </c>
      <c r="D52" s="192">
        <v>184.0</v>
      </c>
      <c r="E52" s="192">
        <v>2870.0</v>
      </c>
      <c r="F52" s="192">
        <f t="shared" si="5"/>
        <v>0</v>
      </c>
      <c r="G52" s="192">
        <f t="shared" si="6"/>
        <v>1557.836</v>
      </c>
      <c r="H52" s="193">
        <f t="shared" si="7"/>
        <v>1557.836</v>
      </c>
      <c r="I52" s="192">
        <v>1.0</v>
      </c>
      <c r="J52" s="194">
        <f t="shared" si="8"/>
        <v>1557.836</v>
      </c>
      <c r="K52" s="139"/>
      <c r="L52" s="177">
        <f t="shared" si="17"/>
        <v>4.6736</v>
      </c>
      <c r="M52" s="160">
        <f t="shared" si="18"/>
        <v>1</v>
      </c>
      <c r="N52" s="160">
        <f t="shared" si="19"/>
        <v>4.6736</v>
      </c>
      <c r="O52" s="139"/>
      <c r="P52" s="139"/>
      <c r="Q52" s="177">
        <v>1555.0</v>
      </c>
      <c r="R52" s="189">
        <v>29.5</v>
      </c>
      <c r="S52" s="177">
        <f t="shared" si="9"/>
        <v>28.7</v>
      </c>
      <c r="T52" s="160">
        <f t="shared" si="10"/>
        <v>1</v>
      </c>
      <c r="U52" s="160">
        <f t="shared" si="11"/>
        <v>28.7</v>
      </c>
      <c r="V52" s="190">
        <f t="shared" si="12"/>
        <v>1557.836</v>
      </c>
      <c r="W52" s="177">
        <f t="shared" ref="W52:X52" si="38">C52/100</f>
        <v>1</v>
      </c>
      <c r="X52" s="177">
        <f t="shared" si="38"/>
        <v>1.84</v>
      </c>
      <c r="Y52" s="177">
        <f t="shared" si="14"/>
        <v>28.7</v>
      </c>
      <c r="Z52" s="191">
        <f t="shared" si="15"/>
        <v>52.808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23.0</v>
      </c>
      <c r="B53" s="182" t="s">
        <v>79</v>
      </c>
      <c r="C53" s="183">
        <v>78.0</v>
      </c>
      <c r="D53" s="183">
        <v>200.0</v>
      </c>
      <c r="E53" s="183">
        <v>185.0</v>
      </c>
      <c r="F53" s="183">
        <f t="shared" si="5"/>
        <v>0</v>
      </c>
      <c r="G53" s="183">
        <f t="shared" si="6"/>
        <v>47.619</v>
      </c>
      <c r="H53" s="184">
        <f t="shared" si="7"/>
        <v>47.619</v>
      </c>
      <c r="I53" s="183">
        <v>1.0</v>
      </c>
      <c r="J53" s="185">
        <f t="shared" si="8"/>
        <v>47.619</v>
      </c>
      <c r="K53" s="186"/>
      <c r="L53" s="187">
        <f t="shared" si="17"/>
        <v>5.08</v>
      </c>
      <c r="M53" s="188">
        <f t="shared" si="18"/>
        <v>1</v>
      </c>
      <c r="N53" s="188">
        <f t="shared" si="19"/>
        <v>5.08</v>
      </c>
      <c r="O53" s="186"/>
      <c r="P53" s="186"/>
      <c r="Q53" s="187">
        <v>61.0</v>
      </c>
      <c r="R53" s="189">
        <v>16.5</v>
      </c>
      <c r="S53" s="177">
        <f t="shared" si="9"/>
        <v>1.85</v>
      </c>
      <c r="T53" s="160">
        <f t="shared" si="10"/>
        <v>1</v>
      </c>
      <c r="U53" s="160">
        <f t="shared" si="11"/>
        <v>1.85</v>
      </c>
      <c r="V53" s="190">
        <f t="shared" si="12"/>
        <v>47.619</v>
      </c>
      <c r="W53" s="177">
        <f t="shared" ref="W53:X53" si="39">C53/100</f>
        <v>0.78</v>
      </c>
      <c r="X53" s="177">
        <f t="shared" si="39"/>
        <v>2</v>
      </c>
      <c r="Y53" s="177">
        <f t="shared" si="14"/>
        <v>1.85</v>
      </c>
      <c r="Z53" s="191">
        <f t="shared" si="15"/>
        <v>2.886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24.0</v>
      </c>
      <c r="B54" s="192" t="s">
        <v>79</v>
      </c>
      <c r="C54" s="192">
        <v>32.0</v>
      </c>
      <c r="D54" s="192">
        <v>203.0</v>
      </c>
      <c r="E54" s="192">
        <v>70.0</v>
      </c>
      <c r="F54" s="192">
        <f t="shared" si="5"/>
        <v>0</v>
      </c>
      <c r="G54" s="192">
        <f t="shared" si="6"/>
        <v>7.50288</v>
      </c>
      <c r="H54" s="193">
        <f t="shared" si="7"/>
        <v>7.50288</v>
      </c>
      <c r="I54" s="192">
        <v>1.0</v>
      </c>
      <c r="J54" s="194">
        <f t="shared" si="8"/>
        <v>7.50288</v>
      </c>
      <c r="K54" s="139"/>
      <c r="L54" s="177">
        <f t="shared" si="17"/>
        <v>5.1562</v>
      </c>
      <c r="M54" s="160">
        <f t="shared" si="18"/>
        <v>1</v>
      </c>
      <c r="N54" s="160">
        <f t="shared" si="19"/>
        <v>5.1562</v>
      </c>
      <c r="O54" s="139"/>
      <c r="P54" s="139"/>
      <c r="Q54" s="177">
        <v>24.0</v>
      </c>
      <c r="R54" s="189">
        <v>16.5</v>
      </c>
      <c r="S54" s="177">
        <f t="shared" si="9"/>
        <v>0.7</v>
      </c>
      <c r="T54" s="160">
        <f t="shared" si="10"/>
        <v>1</v>
      </c>
      <c r="U54" s="160">
        <f t="shared" si="11"/>
        <v>0.7</v>
      </c>
      <c r="V54" s="190">
        <f t="shared" si="12"/>
        <v>7.50288</v>
      </c>
      <c r="W54" s="177">
        <f t="shared" ref="W54:X54" si="40">C54/100</f>
        <v>0.32</v>
      </c>
      <c r="X54" s="177">
        <f t="shared" si="40"/>
        <v>2.03</v>
      </c>
      <c r="Y54" s="177">
        <f t="shared" si="14"/>
        <v>0.7</v>
      </c>
      <c r="Z54" s="191">
        <f t="shared" si="15"/>
        <v>0.45472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25.0</v>
      </c>
      <c r="B55" s="192" t="s">
        <v>79</v>
      </c>
      <c r="C55" s="192">
        <v>109.0</v>
      </c>
      <c r="D55" s="192">
        <v>203.0</v>
      </c>
      <c r="E55" s="192">
        <v>67.0</v>
      </c>
      <c r="F55" s="192">
        <f t="shared" si="5"/>
        <v>0</v>
      </c>
      <c r="G55" s="192">
        <f t="shared" si="6"/>
        <v>24.4613985</v>
      </c>
      <c r="H55" s="193">
        <f t="shared" si="7"/>
        <v>24.4613985</v>
      </c>
      <c r="I55" s="192">
        <v>1.0</v>
      </c>
      <c r="J55" s="194">
        <f t="shared" si="8"/>
        <v>24.4613985</v>
      </c>
      <c r="K55" s="139"/>
      <c r="L55" s="177">
        <f t="shared" si="17"/>
        <v>5.1562</v>
      </c>
      <c r="M55" s="160">
        <f t="shared" si="18"/>
        <v>1</v>
      </c>
      <c r="N55" s="160">
        <f t="shared" si="19"/>
        <v>5.1562</v>
      </c>
      <c r="O55" s="139"/>
      <c r="P55" s="139"/>
      <c r="Q55" s="177">
        <v>35.0</v>
      </c>
      <c r="R55" s="189">
        <v>16.5</v>
      </c>
      <c r="S55" s="177">
        <f t="shared" si="9"/>
        <v>0.67</v>
      </c>
      <c r="T55" s="160">
        <f t="shared" si="10"/>
        <v>1</v>
      </c>
      <c r="U55" s="160">
        <f t="shared" si="11"/>
        <v>0.67</v>
      </c>
      <c r="V55" s="190">
        <f t="shared" si="12"/>
        <v>24.4613985</v>
      </c>
      <c r="W55" s="177">
        <f t="shared" ref="W55:X55" si="41">C55/100</f>
        <v>1.09</v>
      </c>
      <c r="X55" s="177">
        <f t="shared" si="41"/>
        <v>2.03</v>
      </c>
      <c r="Y55" s="177">
        <f t="shared" si="14"/>
        <v>0.67</v>
      </c>
      <c r="Z55" s="191">
        <f t="shared" si="15"/>
        <v>1.482509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26.0</v>
      </c>
      <c r="B56" s="192" t="s">
        <v>79</v>
      </c>
      <c r="C56" s="192">
        <v>109.0</v>
      </c>
      <c r="D56" s="192">
        <v>203.0</v>
      </c>
      <c r="E56" s="192">
        <v>59.0</v>
      </c>
      <c r="F56" s="192">
        <f t="shared" si="5"/>
        <v>0</v>
      </c>
      <c r="G56" s="192">
        <f t="shared" si="6"/>
        <v>21.5406345</v>
      </c>
      <c r="H56" s="193">
        <f t="shared" si="7"/>
        <v>21.5406345</v>
      </c>
      <c r="I56" s="192">
        <v>1.0</v>
      </c>
      <c r="J56" s="194">
        <f t="shared" si="8"/>
        <v>21.5406345</v>
      </c>
      <c r="K56" s="139"/>
      <c r="L56" s="195"/>
      <c r="M56" s="196">
        <f t="shared" si="18"/>
        <v>1</v>
      </c>
      <c r="N56" s="196"/>
      <c r="O56" s="139"/>
      <c r="P56" s="139"/>
      <c r="Q56" s="177">
        <v>30.0</v>
      </c>
      <c r="R56" s="189">
        <v>16.5</v>
      </c>
      <c r="S56" s="177">
        <f t="shared" si="9"/>
        <v>0.59</v>
      </c>
      <c r="T56" s="160">
        <f t="shared" si="10"/>
        <v>1</v>
      </c>
      <c r="U56" s="160">
        <f t="shared" si="11"/>
        <v>0.59</v>
      </c>
      <c r="V56" s="190">
        <f t="shared" si="12"/>
        <v>21.5406345</v>
      </c>
      <c r="W56" s="177">
        <f t="shared" ref="W56:X56" si="42">C56/100</f>
        <v>1.09</v>
      </c>
      <c r="X56" s="177">
        <f t="shared" si="42"/>
        <v>2.03</v>
      </c>
      <c r="Y56" s="177">
        <f t="shared" si="14"/>
        <v>0.59</v>
      </c>
      <c r="Z56" s="191">
        <f t="shared" si="15"/>
        <v>1.305493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27.0</v>
      </c>
      <c r="B57" s="192" t="s">
        <v>79</v>
      </c>
      <c r="C57" s="192">
        <v>110.0</v>
      </c>
      <c r="D57" s="192">
        <v>204.0</v>
      </c>
      <c r="E57" s="192">
        <v>2854.0</v>
      </c>
      <c r="F57" s="192">
        <f t="shared" si="5"/>
        <v>0</v>
      </c>
      <c r="G57" s="192">
        <f t="shared" si="6"/>
        <v>1056.72204</v>
      </c>
      <c r="H57" s="193">
        <f t="shared" si="7"/>
        <v>1056.72204</v>
      </c>
      <c r="I57" s="192">
        <v>1.0</v>
      </c>
      <c r="J57" s="194">
        <f t="shared" si="8"/>
        <v>1056.72204</v>
      </c>
      <c r="K57" s="139"/>
      <c r="L57" s="195"/>
      <c r="M57" s="196">
        <f t="shared" si="18"/>
        <v>1</v>
      </c>
      <c r="N57" s="196"/>
      <c r="O57" s="139"/>
      <c r="P57" s="139"/>
      <c r="Q57" s="177">
        <v>1035.0</v>
      </c>
      <c r="R57" s="189">
        <v>16.5</v>
      </c>
      <c r="S57" s="177">
        <f t="shared" si="9"/>
        <v>28.54</v>
      </c>
      <c r="T57" s="160">
        <f t="shared" si="10"/>
        <v>1</v>
      </c>
      <c r="U57" s="160">
        <f t="shared" si="11"/>
        <v>28.54</v>
      </c>
      <c r="V57" s="190">
        <f t="shared" si="12"/>
        <v>1056.72204</v>
      </c>
      <c r="W57" s="177">
        <f t="shared" ref="W57:X57" si="43">C57/100</f>
        <v>1.1</v>
      </c>
      <c r="X57" s="177">
        <f t="shared" si="43"/>
        <v>2.04</v>
      </c>
      <c r="Y57" s="177">
        <f t="shared" si="14"/>
        <v>28.54</v>
      </c>
      <c r="Z57" s="191">
        <f t="shared" si="15"/>
        <v>64.04376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28.0</v>
      </c>
      <c r="B58" s="192" t="s">
        <v>79</v>
      </c>
      <c r="C58" s="192">
        <v>112.0</v>
      </c>
      <c r="D58" s="192">
        <v>204.0</v>
      </c>
      <c r="E58" s="192">
        <v>2840.0</v>
      </c>
      <c r="F58" s="192">
        <f t="shared" si="5"/>
        <v>0</v>
      </c>
      <c r="G58" s="192">
        <f t="shared" si="6"/>
        <v>1070.65728</v>
      </c>
      <c r="H58" s="193">
        <f t="shared" si="7"/>
        <v>1070.65728</v>
      </c>
      <c r="I58" s="192">
        <v>1.0</v>
      </c>
      <c r="J58" s="194">
        <f t="shared" si="8"/>
        <v>1070.65728</v>
      </c>
      <c r="K58" s="139"/>
      <c r="L58" s="195"/>
      <c r="M58" s="196">
        <f t="shared" si="18"/>
        <v>1</v>
      </c>
      <c r="N58" s="196"/>
      <c r="O58" s="139"/>
      <c r="P58" s="139"/>
      <c r="Q58" s="177">
        <v>1055.0</v>
      </c>
      <c r="R58" s="189">
        <v>16.5</v>
      </c>
      <c r="S58" s="177">
        <f t="shared" si="9"/>
        <v>28.4</v>
      </c>
      <c r="T58" s="160">
        <f t="shared" si="10"/>
        <v>1</v>
      </c>
      <c r="U58" s="160">
        <f t="shared" si="11"/>
        <v>28.4</v>
      </c>
      <c r="V58" s="190">
        <f t="shared" si="12"/>
        <v>1070.65728</v>
      </c>
      <c r="W58" s="177">
        <f t="shared" ref="W58:X58" si="44">C58/100</f>
        <v>1.12</v>
      </c>
      <c r="X58" s="177">
        <f t="shared" si="44"/>
        <v>2.04</v>
      </c>
      <c r="Y58" s="177">
        <f t="shared" si="14"/>
        <v>28.4</v>
      </c>
      <c r="Z58" s="191">
        <f t="shared" si="15"/>
        <v>64.88832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29.0</v>
      </c>
      <c r="B59" s="192" t="s">
        <v>79</v>
      </c>
      <c r="C59" s="192">
        <v>105.0</v>
      </c>
      <c r="D59" s="192">
        <v>204.0</v>
      </c>
      <c r="E59" s="192">
        <v>2858.0</v>
      </c>
      <c r="F59" s="192">
        <f t="shared" si="5"/>
        <v>0</v>
      </c>
      <c r="G59" s="192">
        <f t="shared" si="6"/>
        <v>1010.10294</v>
      </c>
      <c r="H59" s="193">
        <f t="shared" si="7"/>
        <v>1010.10294</v>
      </c>
      <c r="I59" s="192">
        <v>1.0</v>
      </c>
      <c r="J59" s="194">
        <f t="shared" si="8"/>
        <v>1010.10294</v>
      </c>
      <c r="K59" s="139"/>
      <c r="L59" s="195"/>
      <c r="M59" s="196">
        <f t="shared" si="18"/>
        <v>1</v>
      </c>
      <c r="N59" s="196"/>
      <c r="O59" s="139"/>
      <c r="P59" s="139"/>
      <c r="Q59" s="177">
        <v>1000.0</v>
      </c>
      <c r="R59" s="189">
        <v>16.5</v>
      </c>
      <c r="S59" s="177">
        <f t="shared" si="9"/>
        <v>28.58</v>
      </c>
      <c r="T59" s="160">
        <f t="shared" si="10"/>
        <v>1</v>
      </c>
      <c r="U59" s="160">
        <f t="shared" si="11"/>
        <v>28.58</v>
      </c>
      <c r="V59" s="190">
        <f t="shared" si="12"/>
        <v>1010.10294</v>
      </c>
      <c r="W59" s="177">
        <f t="shared" ref="W59:X59" si="45">C59/100</f>
        <v>1.05</v>
      </c>
      <c r="X59" s="177">
        <f t="shared" si="45"/>
        <v>2.04</v>
      </c>
      <c r="Y59" s="177">
        <f t="shared" si="14"/>
        <v>28.58</v>
      </c>
      <c r="Z59" s="191">
        <f t="shared" si="15"/>
        <v>61.21836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30.0</v>
      </c>
      <c r="B60" s="182" t="s">
        <v>26</v>
      </c>
      <c r="C60" s="183">
        <v>80.0</v>
      </c>
      <c r="D60" s="183">
        <v>223.0</v>
      </c>
      <c r="E60" s="183">
        <v>185.0</v>
      </c>
      <c r="F60" s="183">
        <f t="shared" si="5"/>
        <v>0</v>
      </c>
      <c r="G60" s="183">
        <f t="shared" si="6"/>
        <v>62.7076</v>
      </c>
      <c r="H60" s="184">
        <f t="shared" si="7"/>
        <v>62.7076</v>
      </c>
      <c r="I60" s="183">
        <v>1.0</v>
      </c>
      <c r="J60" s="185">
        <f t="shared" si="8"/>
        <v>62.7076</v>
      </c>
      <c r="K60" s="186"/>
      <c r="L60" s="187"/>
      <c r="M60" s="188">
        <f t="shared" si="18"/>
        <v>1</v>
      </c>
      <c r="N60" s="188"/>
      <c r="O60" s="186"/>
      <c r="P60" s="186"/>
      <c r="Q60" s="187">
        <v>75.0</v>
      </c>
      <c r="R60" s="189">
        <v>19.0</v>
      </c>
      <c r="S60" s="177">
        <f t="shared" si="9"/>
        <v>1.85</v>
      </c>
      <c r="T60" s="160">
        <f t="shared" si="10"/>
        <v>1</v>
      </c>
      <c r="U60" s="160">
        <f t="shared" si="11"/>
        <v>1.85</v>
      </c>
      <c r="V60" s="190">
        <f t="shared" si="12"/>
        <v>62.7076</v>
      </c>
      <c r="W60" s="177">
        <f t="shared" ref="W60:X60" si="46">C60/100</f>
        <v>0.8</v>
      </c>
      <c r="X60" s="177">
        <f t="shared" si="46"/>
        <v>2.23</v>
      </c>
      <c r="Y60" s="177">
        <f t="shared" si="14"/>
        <v>1.85</v>
      </c>
      <c r="Z60" s="191">
        <f t="shared" si="15"/>
        <v>3.3004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31.0</v>
      </c>
      <c r="B61" s="192" t="s">
        <v>26</v>
      </c>
      <c r="C61" s="192">
        <v>95.0</v>
      </c>
      <c r="D61" s="192">
        <v>222.0</v>
      </c>
      <c r="E61" s="192">
        <v>132.0</v>
      </c>
      <c r="F61" s="192">
        <f t="shared" si="5"/>
        <v>0</v>
      </c>
      <c r="G61" s="192">
        <f t="shared" si="6"/>
        <v>52.89372</v>
      </c>
      <c r="H61" s="193">
        <f t="shared" si="7"/>
        <v>52.89372</v>
      </c>
      <c r="I61" s="192">
        <v>1.0</v>
      </c>
      <c r="J61" s="194">
        <f t="shared" si="8"/>
        <v>52.89372</v>
      </c>
      <c r="K61" s="139"/>
      <c r="L61" s="195"/>
      <c r="M61" s="196">
        <f t="shared" si="18"/>
        <v>1</v>
      </c>
      <c r="N61" s="196"/>
      <c r="O61" s="139"/>
      <c r="P61" s="139"/>
      <c r="Q61" s="177">
        <v>61.0</v>
      </c>
      <c r="R61" s="189">
        <v>19.0</v>
      </c>
      <c r="S61" s="177">
        <f t="shared" si="9"/>
        <v>1.32</v>
      </c>
      <c r="T61" s="160">
        <f t="shared" si="10"/>
        <v>1</v>
      </c>
      <c r="U61" s="160">
        <f t="shared" si="11"/>
        <v>1.32</v>
      </c>
      <c r="V61" s="190">
        <f t="shared" si="12"/>
        <v>52.89372</v>
      </c>
      <c r="W61" s="177">
        <f t="shared" ref="W61:X61" si="47">C61/100</f>
        <v>0.95</v>
      </c>
      <c r="X61" s="177">
        <f t="shared" si="47"/>
        <v>2.22</v>
      </c>
      <c r="Y61" s="177">
        <f t="shared" si="14"/>
        <v>1.32</v>
      </c>
      <c r="Z61" s="191">
        <f t="shared" si="15"/>
        <v>2.78388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32.0</v>
      </c>
      <c r="B62" s="192" t="s">
        <v>26</v>
      </c>
      <c r="C62" s="192">
        <v>103.0</v>
      </c>
      <c r="D62" s="192">
        <v>223.0</v>
      </c>
      <c r="E62" s="192">
        <v>67.0</v>
      </c>
      <c r="F62" s="192">
        <f t="shared" si="5"/>
        <v>0</v>
      </c>
      <c r="G62" s="192">
        <f t="shared" si="6"/>
        <v>29.239537</v>
      </c>
      <c r="H62" s="193">
        <f t="shared" si="7"/>
        <v>29.239537</v>
      </c>
      <c r="I62" s="192">
        <v>1.0</v>
      </c>
      <c r="J62" s="194">
        <f t="shared" si="8"/>
        <v>29.239537</v>
      </c>
      <c r="K62" s="139"/>
      <c r="L62" s="195"/>
      <c r="M62" s="196">
        <f t="shared" si="18"/>
        <v>1</v>
      </c>
      <c r="N62" s="196"/>
      <c r="O62" s="139"/>
      <c r="P62" s="139"/>
      <c r="Q62" s="177">
        <v>41.0</v>
      </c>
      <c r="R62" s="189">
        <v>19.0</v>
      </c>
      <c r="S62" s="177">
        <f t="shared" si="9"/>
        <v>0.67</v>
      </c>
      <c r="T62" s="160">
        <f t="shared" si="10"/>
        <v>1</v>
      </c>
      <c r="U62" s="160">
        <f t="shared" si="11"/>
        <v>0.67</v>
      </c>
      <c r="V62" s="190">
        <f t="shared" si="12"/>
        <v>29.239537</v>
      </c>
      <c r="W62" s="177">
        <f t="shared" ref="W62:X62" si="48">C62/100</f>
        <v>1.03</v>
      </c>
      <c r="X62" s="177">
        <f t="shared" si="48"/>
        <v>2.23</v>
      </c>
      <c r="Y62" s="177">
        <f t="shared" si="14"/>
        <v>0.67</v>
      </c>
      <c r="Z62" s="191">
        <f t="shared" si="15"/>
        <v>1.538923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33.0</v>
      </c>
      <c r="B63" s="192" t="s">
        <v>26</v>
      </c>
      <c r="C63" s="192">
        <v>103.0</v>
      </c>
      <c r="D63" s="192">
        <v>223.0</v>
      </c>
      <c r="E63" s="192">
        <v>48.0</v>
      </c>
      <c r="F63" s="192">
        <f t="shared" si="5"/>
        <v>0</v>
      </c>
      <c r="G63" s="192">
        <f t="shared" si="6"/>
        <v>20.947728</v>
      </c>
      <c r="H63" s="193">
        <f t="shared" si="7"/>
        <v>20.947728</v>
      </c>
      <c r="I63" s="192">
        <v>1.0</v>
      </c>
      <c r="J63" s="194">
        <f t="shared" si="8"/>
        <v>20.947728</v>
      </c>
      <c r="K63" s="139"/>
      <c r="L63" s="195"/>
      <c r="M63" s="196">
        <f t="shared" si="18"/>
        <v>1</v>
      </c>
      <c r="N63" s="196"/>
      <c r="O63" s="139"/>
      <c r="P63" s="139"/>
      <c r="Q63" s="177">
        <v>40.0</v>
      </c>
      <c r="R63" s="189">
        <v>19.0</v>
      </c>
      <c r="S63" s="177">
        <f t="shared" si="9"/>
        <v>0.48</v>
      </c>
      <c r="T63" s="160">
        <f t="shared" si="10"/>
        <v>1</v>
      </c>
      <c r="U63" s="160">
        <f t="shared" si="11"/>
        <v>0.48</v>
      </c>
      <c r="V63" s="190">
        <f t="shared" si="12"/>
        <v>20.947728</v>
      </c>
      <c r="W63" s="177">
        <f t="shared" ref="W63:X63" si="49">C63/100</f>
        <v>1.03</v>
      </c>
      <c r="X63" s="177">
        <f t="shared" si="49"/>
        <v>2.23</v>
      </c>
      <c r="Y63" s="177">
        <f t="shared" si="14"/>
        <v>0.48</v>
      </c>
      <c r="Z63" s="191">
        <f t="shared" si="15"/>
        <v>1.102512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34.0</v>
      </c>
      <c r="B64" s="192" t="s">
        <v>26</v>
      </c>
      <c r="C64" s="192">
        <v>105.0</v>
      </c>
      <c r="D64" s="192">
        <v>223.0</v>
      </c>
      <c r="E64" s="192">
        <v>2860.0</v>
      </c>
      <c r="F64" s="192">
        <f t="shared" si="5"/>
        <v>0</v>
      </c>
      <c r="G64" s="192">
        <f t="shared" si="6"/>
        <v>1272.3711</v>
      </c>
      <c r="H64" s="193">
        <f t="shared" si="7"/>
        <v>1272.3711</v>
      </c>
      <c r="I64" s="192">
        <v>1.0</v>
      </c>
      <c r="J64" s="194">
        <f t="shared" si="8"/>
        <v>1272.3711</v>
      </c>
      <c r="K64" s="139"/>
      <c r="L64" s="195"/>
      <c r="M64" s="196">
        <f t="shared" si="18"/>
        <v>1</v>
      </c>
      <c r="N64" s="196"/>
      <c r="O64" s="139"/>
      <c r="P64" s="139"/>
      <c r="Q64" s="177">
        <v>1285.0</v>
      </c>
      <c r="R64" s="189">
        <v>19.0</v>
      </c>
      <c r="S64" s="177">
        <f t="shared" si="9"/>
        <v>28.6</v>
      </c>
      <c r="T64" s="160">
        <f t="shared" si="10"/>
        <v>1</v>
      </c>
      <c r="U64" s="160">
        <f t="shared" si="11"/>
        <v>28.6</v>
      </c>
      <c r="V64" s="190">
        <f t="shared" si="12"/>
        <v>1272.3711</v>
      </c>
      <c r="W64" s="177">
        <f t="shared" ref="W64:X64" si="50">C64/100</f>
        <v>1.05</v>
      </c>
      <c r="X64" s="177">
        <f t="shared" si="50"/>
        <v>2.23</v>
      </c>
      <c r="Y64" s="177">
        <f t="shared" si="14"/>
        <v>28.6</v>
      </c>
      <c r="Z64" s="191">
        <f t="shared" si="15"/>
        <v>66.9669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35.0</v>
      </c>
      <c r="B65" s="192" t="s">
        <v>26</v>
      </c>
      <c r="C65" s="192">
        <v>103.0</v>
      </c>
      <c r="D65" s="192">
        <v>223.0</v>
      </c>
      <c r="E65" s="192">
        <v>2858.0</v>
      </c>
      <c r="F65" s="192">
        <f t="shared" si="5"/>
        <v>0</v>
      </c>
      <c r="G65" s="192">
        <f t="shared" si="6"/>
        <v>1247.262638</v>
      </c>
      <c r="H65" s="193">
        <f t="shared" si="7"/>
        <v>1247.262638</v>
      </c>
      <c r="I65" s="192">
        <v>1.0</v>
      </c>
      <c r="J65" s="194">
        <f t="shared" si="8"/>
        <v>1247.262638</v>
      </c>
      <c r="K65" s="139"/>
      <c r="L65" s="195"/>
      <c r="M65" s="196">
        <f t="shared" si="18"/>
        <v>1</v>
      </c>
      <c r="N65" s="196"/>
      <c r="O65" s="139"/>
      <c r="P65" s="139"/>
      <c r="Q65" s="177">
        <v>1285.0</v>
      </c>
      <c r="R65" s="189">
        <v>19.0</v>
      </c>
      <c r="S65" s="177">
        <f t="shared" si="9"/>
        <v>28.58</v>
      </c>
      <c r="T65" s="160">
        <f t="shared" si="10"/>
        <v>1</v>
      </c>
      <c r="U65" s="160">
        <f t="shared" si="11"/>
        <v>28.58</v>
      </c>
      <c r="V65" s="190">
        <f t="shared" si="12"/>
        <v>1247.262638</v>
      </c>
      <c r="W65" s="177">
        <f t="shared" ref="W65:X65" si="51">C65/100</f>
        <v>1.03</v>
      </c>
      <c r="X65" s="177">
        <f t="shared" si="51"/>
        <v>2.23</v>
      </c>
      <c r="Y65" s="177">
        <f t="shared" si="14"/>
        <v>28.58</v>
      </c>
      <c r="Z65" s="191">
        <f t="shared" si="15"/>
        <v>65.645402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36.0</v>
      </c>
      <c r="B66" s="192" t="s">
        <v>26</v>
      </c>
      <c r="C66" s="192">
        <v>104.0</v>
      </c>
      <c r="D66" s="192">
        <v>223.0</v>
      </c>
      <c r="E66" s="192">
        <v>2858.0</v>
      </c>
      <c r="F66" s="192">
        <f t="shared" si="5"/>
        <v>0</v>
      </c>
      <c r="G66" s="192">
        <f t="shared" si="6"/>
        <v>1259.371984</v>
      </c>
      <c r="H66" s="193">
        <f t="shared" si="7"/>
        <v>1259.371984</v>
      </c>
      <c r="I66" s="192">
        <v>1.0</v>
      </c>
      <c r="J66" s="194">
        <f t="shared" si="8"/>
        <v>1259.371984</v>
      </c>
      <c r="K66" s="139"/>
      <c r="L66" s="195"/>
      <c r="M66" s="196">
        <f t="shared" si="18"/>
        <v>1</v>
      </c>
      <c r="N66" s="196"/>
      <c r="O66" s="139"/>
      <c r="P66" s="139"/>
      <c r="Q66" s="177">
        <v>1285.0</v>
      </c>
      <c r="R66" s="189">
        <v>19.0</v>
      </c>
      <c r="S66" s="177">
        <f t="shared" si="9"/>
        <v>28.58</v>
      </c>
      <c r="T66" s="160">
        <f t="shared" si="10"/>
        <v>1</v>
      </c>
      <c r="U66" s="160">
        <f t="shared" si="11"/>
        <v>28.58</v>
      </c>
      <c r="V66" s="190">
        <f t="shared" si="12"/>
        <v>1259.371984</v>
      </c>
      <c r="W66" s="177">
        <f t="shared" ref="W66:X66" si="52">C66/100</f>
        <v>1.04</v>
      </c>
      <c r="X66" s="177">
        <f t="shared" si="52"/>
        <v>2.23</v>
      </c>
      <c r="Y66" s="177">
        <f t="shared" si="14"/>
        <v>28.58</v>
      </c>
      <c r="Z66" s="191">
        <f t="shared" si="15"/>
        <v>66.282736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37.0</v>
      </c>
      <c r="B67" s="192" t="s">
        <v>26</v>
      </c>
      <c r="C67" s="192">
        <v>104.0</v>
      </c>
      <c r="D67" s="192">
        <v>223.0</v>
      </c>
      <c r="E67" s="192">
        <v>2855.0</v>
      </c>
      <c r="F67" s="192">
        <f t="shared" si="5"/>
        <v>0</v>
      </c>
      <c r="G67" s="192">
        <f t="shared" si="6"/>
        <v>1258.05004</v>
      </c>
      <c r="H67" s="193">
        <f t="shared" si="7"/>
        <v>1258.05004</v>
      </c>
      <c r="I67" s="192">
        <v>1.0</v>
      </c>
      <c r="J67" s="194">
        <f t="shared" si="8"/>
        <v>1258.05004</v>
      </c>
      <c r="K67" s="139"/>
      <c r="L67" s="195"/>
      <c r="M67" s="196">
        <f t="shared" si="18"/>
        <v>1</v>
      </c>
      <c r="N67" s="196"/>
      <c r="O67" s="139"/>
      <c r="P67" s="139"/>
      <c r="Q67" s="177">
        <v>1285.0</v>
      </c>
      <c r="R67" s="189">
        <v>19.0</v>
      </c>
      <c r="S67" s="177">
        <f t="shared" si="9"/>
        <v>28.55</v>
      </c>
      <c r="T67" s="160">
        <f t="shared" si="10"/>
        <v>1</v>
      </c>
      <c r="U67" s="160">
        <f t="shared" si="11"/>
        <v>28.55</v>
      </c>
      <c r="V67" s="190">
        <f t="shared" si="12"/>
        <v>1258.05004</v>
      </c>
      <c r="W67" s="177">
        <f t="shared" ref="W67:X67" si="53">C67/100</f>
        <v>1.04</v>
      </c>
      <c r="X67" s="177">
        <f t="shared" si="53"/>
        <v>2.23</v>
      </c>
      <c r="Y67" s="177">
        <f t="shared" si="14"/>
        <v>28.55</v>
      </c>
      <c r="Z67" s="191">
        <f t="shared" si="15"/>
        <v>66.21316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38.0</v>
      </c>
      <c r="B68" s="192" t="s">
        <v>26</v>
      </c>
      <c r="C68" s="192">
        <v>105.0</v>
      </c>
      <c r="D68" s="192">
        <v>223.0</v>
      </c>
      <c r="E68" s="192">
        <v>2863.0</v>
      </c>
      <c r="F68" s="192">
        <f t="shared" si="5"/>
        <v>0</v>
      </c>
      <c r="G68" s="192">
        <f t="shared" si="6"/>
        <v>1273.705755</v>
      </c>
      <c r="H68" s="193">
        <f t="shared" si="7"/>
        <v>1273.705755</v>
      </c>
      <c r="I68" s="192">
        <v>1.0</v>
      </c>
      <c r="J68" s="194">
        <f t="shared" si="8"/>
        <v>1273.705755</v>
      </c>
      <c r="K68" s="139"/>
      <c r="L68" s="195"/>
      <c r="M68" s="196">
        <f t="shared" si="18"/>
        <v>1</v>
      </c>
      <c r="N68" s="196"/>
      <c r="O68" s="139"/>
      <c r="P68" s="139"/>
      <c r="Q68" s="177">
        <v>1280.0</v>
      </c>
      <c r="R68" s="189">
        <v>19.0</v>
      </c>
      <c r="S68" s="177">
        <f t="shared" si="9"/>
        <v>28.63</v>
      </c>
      <c r="T68" s="160">
        <f t="shared" si="10"/>
        <v>1</v>
      </c>
      <c r="U68" s="160">
        <f t="shared" si="11"/>
        <v>28.63</v>
      </c>
      <c r="V68" s="190">
        <f t="shared" si="12"/>
        <v>1273.705755</v>
      </c>
      <c r="W68" s="177">
        <f t="shared" ref="W68:X68" si="54">C68/100</f>
        <v>1.05</v>
      </c>
      <c r="X68" s="177">
        <f t="shared" si="54"/>
        <v>2.23</v>
      </c>
      <c r="Y68" s="177">
        <f t="shared" si="14"/>
        <v>28.63</v>
      </c>
      <c r="Z68" s="191">
        <f t="shared" si="15"/>
        <v>67.037145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51.0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52.0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53.0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54.0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55.0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56.0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57.0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58.0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59.0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3">C77/100</f>
        <v>0</v>
      </c>
      <c r="X77" s="177">
        <f t="shared" si="63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60.0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77">
        <f t="shared" ref="L78:L79" si="65">D78*25.4/1000</f>
        <v>0</v>
      </c>
      <c r="M78" s="160" t="str">
        <f t="shared" ref="M78:M93" si="66">+I78</f>
        <v/>
      </c>
      <c r="N78" s="160">
        <f t="shared" ref="N78:N79" si="67">M78*L78</f>
        <v>0</v>
      </c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4">C78/100</f>
        <v>0</v>
      </c>
      <c r="X78" s="177">
        <f t="shared" si="64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61.0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>
        <f t="shared" si="65"/>
        <v>0</v>
      </c>
      <c r="M79" s="196" t="str">
        <f t="shared" si="66"/>
        <v/>
      </c>
      <c r="N79" s="196">
        <f t="shared" si="67"/>
        <v>0</v>
      </c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8">C79/100</f>
        <v>0</v>
      </c>
      <c r="X79" s="177">
        <f t="shared" si="68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62.0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6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63.0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6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64.0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6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65.0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6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66.0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6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3">C84/100</f>
        <v>0</v>
      </c>
      <c r="X84" s="177">
        <f t="shared" si="73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67.0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6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4">C85/100</f>
        <v>0</v>
      </c>
      <c r="X85" s="177">
        <f t="shared" si="74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68.0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6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5">C86/100</f>
        <v>0</v>
      </c>
      <c r="X86" s="177">
        <f t="shared" si="75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69.0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6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6">C87/100</f>
        <v>0</v>
      </c>
      <c r="X87" s="177">
        <f t="shared" si="76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70.0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6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7">C88/100</f>
        <v>0</v>
      </c>
      <c r="X88" s="177">
        <f t="shared" si="77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71.0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6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8">C89/100</f>
        <v>0</v>
      </c>
      <c r="X89" s="177">
        <f t="shared" si="78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72.0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6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73.0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6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74.0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6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75.0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6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76.0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77.0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78.0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79.0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80.0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81.0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82.0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83.0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84.0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85.0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86.0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87.0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88.0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89.0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90.0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91.0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92.0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93.0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94.0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95.0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96.0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97.0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98.0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99.0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100.0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101.0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102.0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103.0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104.0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105.0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106.0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107.0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108.0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109.0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110.0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111.0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112.0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113.0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114.0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115.0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116.0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117.0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118.0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119.0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120.0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121.0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122.0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123.0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124.0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125.0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126.0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127.0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128.0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129.0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130.0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131.0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132.0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133.0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134.0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135.0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136.0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137.0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138.0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139.0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140.0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141.0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142.0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143.0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144.0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145.0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146.0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147.0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148.0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149.0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150.0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151.0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152.0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153.0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154.0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155.0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156.0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157.0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158.0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159.0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160.0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161.0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162.0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163.0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164.0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165.0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166.0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167.0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168.0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169.0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170.0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171.0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172.0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173.0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174.0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175.0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176.0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177.0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178.0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179.0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180.0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181.0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182.0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183.0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184.0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185.0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186.0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187.0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188.0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189.0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190.0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191.0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192.0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193.0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194.0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195.0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196.0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197.0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198.0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199.0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200.0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201.0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202.0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203.0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204.0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205.0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206.0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207.0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208.0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209.0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210.0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211.0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212.0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213.0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0">C231/100</f>
        <v>0</v>
      </c>
      <c r="X231" s="197">
        <f t="shared" si="220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214.0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1">C232/100</f>
        <v>0</v>
      </c>
      <c r="X232" s="197">
        <f t="shared" si="221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215.0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2">C233/100</f>
        <v>0</v>
      </c>
      <c r="X233" s="197">
        <f t="shared" si="222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216.0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3">C234/100</f>
        <v>0</v>
      </c>
      <c r="X234" s="197">
        <f t="shared" si="223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0">
        <v>217.0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4">C235/100</f>
        <v>0</v>
      </c>
      <c r="X235" s="197">
        <f t="shared" si="224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177"/>
      <c r="C236" s="177"/>
      <c r="D236" s="177"/>
      <c r="E236" s="177"/>
      <c r="F236" s="177"/>
      <c r="G236" s="177"/>
      <c r="H236" s="180"/>
      <c r="I236" s="160"/>
      <c r="J236" s="202">
        <f>+Q299</f>
        <v>71.6</v>
      </c>
      <c r="K236" s="139"/>
      <c r="L236" s="139"/>
      <c r="M236" s="139"/>
      <c r="N236" s="139"/>
      <c r="O236" s="139"/>
      <c r="P236" s="139"/>
      <c r="Q236" s="139"/>
      <c r="R236" s="203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5">C236/100</f>
        <v>0</v>
      </c>
      <c r="X236" s="197">
        <f t="shared" si="225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0"/>
      <c r="B237" s="204"/>
      <c r="C237" s="204"/>
      <c r="D237" s="204"/>
      <c r="E237" s="204"/>
      <c r="F237" s="204"/>
      <c r="G237" s="204"/>
      <c r="H237" s="205"/>
      <c r="I237" s="206">
        <f>SUM(I31:I235)</f>
        <v>38</v>
      </c>
      <c r="J237" s="207">
        <f>SUM(J31:J236)</f>
        <v>28739.91616</v>
      </c>
      <c r="K237" s="208"/>
      <c r="L237" s="208"/>
      <c r="M237" s="208"/>
      <c r="N237" s="208"/>
      <c r="O237" s="208"/>
      <c r="P237" s="208"/>
      <c r="Q237" s="208"/>
      <c r="R237" s="141"/>
      <c r="S237" s="208">
        <f>SUMIFS($T$31:$T$235,$S$31:$S$235,"&gt;=3")</f>
        <v>22</v>
      </c>
      <c r="T237" s="208">
        <f t="shared" ref="T237:U237" si="226">SUM(T31:T235)</f>
        <v>38</v>
      </c>
      <c r="U237" s="208">
        <f t="shared" si="226"/>
        <v>644.55</v>
      </c>
      <c r="V237" s="208"/>
      <c r="W237" s="208"/>
      <c r="X237" s="208"/>
      <c r="Y237" s="208"/>
      <c r="Z237" s="209">
        <f>SUM(Z31:Z236)</f>
        <v>1312.597079</v>
      </c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1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3"/>
      <c r="S239" s="139"/>
      <c r="T239" s="139" t="s">
        <v>48</v>
      </c>
      <c r="U239" s="139" t="s">
        <v>59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10">
        <f>SUMIFS($J$31:$J$235,$S$31:$S$235,"&gt;=3")</f>
        <v>28046.70749</v>
      </c>
      <c r="U240" s="211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2">
        <f>J237-T240</f>
        <v>693.208673</v>
      </c>
      <c r="U241" s="211">
        <f>+SUMIFS($U$31:$U$235,$S$31:$S$235,"&gt;=3")</f>
        <v>628.22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213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7"/>
      <c r="B243" s="160" t="s">
        <v>12</v>
      </c>
      <c r="C243" s="178" t="s">
        <v>60</v>
      </c>
      <c r="D243" s="52"/>
      <c r="E243" s="53"/>
      <c r="F243" s="179"/>
      <c r="G243" s="179"/>
      <c r="H243" s="180" t="s">
        <v>14</v>
      </c>
      <c r="I243" s="160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1.0</v>
      </c>
      <c r="B244" s="214"/>
      <c r="C244" s="214"/>
      <c r="D244" s="214"/>
      <c r="E244" s="214"/>
      <c r="F244" s="214">
        <f t="shared" ref="F244:F257" si="227">1-VALUE(IF(RIGHT(B244, 1)="%", RIGHT(B244, 3), 0))</f>
        <v>1</v>
      </c>
      <c r="G244" s="214">
        <f t="shared" ref="G244:G257" si="228">+Q244*C244/100*D244/100*E244/100</f>
        <v>0</v>
      </c>
      <c r="H244" s="215">
        <f t="shared" ref="H244:H257" si="229">IF(F244=0, G244, F244*G244)</f>
        <v>0</v>
      </c>
      <c r="I244" s="214"/>
      <c r="J244" s="216"/>
      <c r="K244" s="139"/>
      <c r="L244" s="177">
        <f t="shared" ref="L244:L252" si="230">D244*25.4/1000</f>
        <v>0</v>
      </c>
      <c r="M244" s="160" t="str">
        <f t="shared" ref="M244:M248" si="231">+I244</f>
        <v/>
      </c>
      <c r="N244" s="160">
        <f t="shared" ref="N244:N248" si="232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2.0</v>
      </c>
      <c r="B245" s="214"/>
      <c r="C245" s="214"/>
      <c r="D245" s="214"/>
      <c r="E245" s="214"/>
      <c r="F245" s="214">
        <f t="shared" si="227"/>
        <v>1</v>
      </c>
      <c r="G245" s="214">
        <f t="shared" si="228"/>
        <v>0</v>
      </c>
      <c r="H245" s="215">
        <f t="shared" si="229"/>
        <v>0</v>
      </c>
      <c r="I245" s="214"/>
      <c r="J245" s="216">
        <f t="shared" ref="J245:J257" si="233">+I245*H245</f>
        <v>0</v>
      </c>
      <c r="K245" s="139"/>
      <c r="L245" s="177">
        <f t="shared" si="230"/>
        <v>0</v>
      </c>
      <c r="M245" s="160" t="str">
        <f t="shared" si="231"/>
        <v/>
      </c>
      <c r="N245" s="160">
        <f t="shared" si="232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3.0</v>
      </c>
      <c r="B246" s="217"/>
      <c r="C246" s="217"/>
      <c r="D246" s="217"/>
      <c r="E246" s="217"/>
      <c r="F246" s="217">
        <f t="shared" si="227"/>
        <v>1</v>
      </c>
      <c r="G246" s="217">
        <f t="shared" si="228"/>
        <v>0</v>
      </c>
      <c r="H246" s="218">
        <f t="shared" si="229"/>
        <v>0</v>
      </c>
      <c r="I246" s="217"/>
      <c r="J246" s="194">
        <f t="shared" si="233"/>
        <v>0</v>
      </c>
      <c r="K246" s="139"/>
      <c r="L246" s="177">
        <f t="shared" si="230"/>
        <v>0</v>
      </c>
      <c r="M246" s="160" t="str">
        <f t="shared" si="231"/>
        <v/>
      </c>
      <c r="N246" s="160">
        <f t="shared" si="232"/>
        <v>0</v>
      </c>
      <c r="O246" s="139"/>
      <c r="P246" s="139"/>
      <c r="Q246" s="139"/>
      <c r="R246" s="13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4.0</v>
      </c>
      <c r="B247" s="217"/>
      <c r="C247" s="217"/>
      <c r="D247" s="217"/>
      <c r="E247" s="217"/>
      <c r="F247" s="217">
        <f t="shared" si="227"/>
        <v>1</v>
      </c>
      <c r="G247" s="217">
        <f t="shared" si="228"/>
        <v>0</v>
      </c>
      <c r="H247" s="218">
        <f t="shared" si="229"/>
        <v>0</v>
      </c>
      <c r="I247" s="217"/>
      <c r="J247" s="194">
        <f t="shared" si="233"/>
        <v>0</v>
      </c>
      <c r="K247" s="139"/>
      <c r="L247" s="177">
        <f t="shared" si="230"/>
        <v>0</v>
      </c>
      <c r="M247" s="160" t="str">
        <f t="shared" si="231"/>
        <v/>
      </c>
      <c r="N247" s="160">
        <f t="shared" si="232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5.0</v>
      </c>
      <c r="B248" s="217"/>
      <c r="C248" s="217"/>
      <c r="D248" s="217"/>
      <c r="E248" s="217"/>
      <c r="F248" s="217">
        <f t="shared" si="227"/>
        <v>1</v>
      </c>
      <c r="G248" s="217">
        <f t="shared" si="228"/>
        <v>0</v>
      </c>
      <c r="H248" s="218">
        <f t="shared" si="229"/>
        <v>0</v>
      </c>
      <c r="I248" s="217"/>
      <c r="J248" s="194">
        <f t="shared" si="233"/>
        <v>0</v>
      </c>
      <c r="K248" s="139"/>
      <c r="L248" s="177">
        <f t="shared" si="230"/>
        <v>0</v>
      </c>
      <c r="M248" s="160" t="str">
        <f t="shared" si="231"/>
        <v/>
      </c>
      <c r="N248" s="160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6.0</v>
      </c>
      <c r="B249" s="217"/>
      <c r="C249" s="217"/>
      <c r="D249" s="217"/>
      <c r="E249" s="217"/>
      <c r="F249" s="217">
        <f t="shared" si="227"/>
        <v>1</v>
      </c>
      <c r="G249" s="217">
        <f t="shared" si="228"/>
        <v>0</v>
      </c>
      <c r="H249" s="218">
        <f t="shared" si="229"/>
        <v>0</v>
      </c>
      <c r="I249" s="217"/>
      <c r="J249" s="194">
        <f t="shared" si="233"/>
        <v>0</v>
      </c>
      <c r="K249" s="139"/>
      <c r="L249" s="139">
        <f t="shared" si="230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7.0</v>
      </c>
      <c r="B250" s="217"/>
      <c r="C250" s="217"/>
      <c r="D250" s="217"/>
      <c r="E250" s="217"/>
      <c r="F250" s="217">
        <f t="shared" si="227"/>
        <v>1</v>
      </c>
      <c r="G250" s="217">
        <f t="shared" si="228"/>
        <v>0</v>
      </c>
      <c r="H250" s="218">
        <f t="shared" si="229"/>
        <v>0</v>
      </c>
      <c r="I250" s="217"/>
      <c r="J250" s="194">
        <f t="shared" si="233"/>
        <v>0</v>
      </c>
      <c r="K250" s="139"/>
      <c r="L250" s="139">
        <f t="shared" si="230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8.0</v>
      </c>
      <c r="B251" s="217"/>
      <c r="C251" s="217"/>
      <c r="D251" s="217"/>
      <c r="E251" s="217"/>
      <c r="F251" s="217">
        <f t="shared" si="227"/>
        <v>1</v>
      </c>
      <c r="G251" s="217">
        <f t="shared" si="228"/>
        <v>0</v>
      </c>
      <c r="H251" s="218">
        <f t="shared" si="229"/>
        <v>0</v>
      </c>
      <c r="I251" s="217"/>
      <c r="J251" s="194">
        <f t="shared" si="233"/>
        <v>0</v>
      </c>
      <c r="K251" s="139"/>
      <c r="L251" s="139">
        <f t="shared" si="230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9.0</v>
      </c>
      <c r="B252" s="217"/>
      <c r="C252" s="217"/>
      <c r="D252" s="217"/>
      <c r="E252" s="217"/>
      <c r="F252" s="217">
        <f t="shared" si="227"/>
        <v>1</v>
      </c>
      <c r="G252" s="217">
        <f t="shared" si="228"/>
        <v>0</v>
      </c>
      <c r="H252" s="218">
        <f t="shared" si="229"/>
        <v>0</v>
      </c>
      <c r="I252" s="217"/>
      <c r="J252" s="194">
        <f t="shared" si="233"/>
        <v>0</v>
      </c>
      <c r="K252" s="139"/>
      <c r="L252" s="139">
        <f t="shared" si="230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10.0</v>
      </c>
      <c r="B253" s="192"/>
      <c r="C253" s="192"/>
      <c r="D253" s="192"/>
      <c r="E253" s="192"/>
      <c r="F253" s="192">
        <f t="shared" si="227"/>
        <v>1</v>
      </c>
      <c r="G253" s="192">
        <f t="shared" si="228"/>
        <v>0</v>
      </c>
      <c r="H253" s="193">
        <f t="shared" si="229"/>
        <v>0</v>
      </c>
      <c r="I253" s="192"/>
      <c r="J253" s="194">
        <f t="shared" si="233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11.0</v>
      </c>
      <c r="B254" s="192"/>
      <c r="C254" s="192"/>
      <c r="D254" s="192"/>
      <c r="E254" s="192"/>
      <c r="F254" s="192">
        <f t="shared" si="227"/>
        <v>1</v>
      </c>
      <c r="G254" s="192">
        <f t="shared" si="228"/>
        <v>0</v>
      </c>
      <c r="H254" s="193">
        <f t="shared" si="229"/>
        <v>0</v>
      </c>
      <c r="I254" s="192"/>
      <c r="J254" s="194">
        <f t="shared" si="233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12.0</v>
      </c>
      <c r="B255" s="192"/>
      <c r="C255" s="192"/>
      <c r="D255" s="192"/>
      <c r="E255" s="192"/>
      <c r="F255" s="192">
        <f t="shared" si="227"/>
        <v>1</v>
      </c>
      <c r="G255" s="192">
        <f t="shared" si="228"/>
        <v>0</v>
      </c>
      <c r="H255" s="193">
        <f t="shared" si="229"/>
        <v>0</v>
      </c>
      <c r="I255" s="192"/>
      <c r="J255" s="194">
        <f t="shared" si="233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13.0</v>
      </c>
      <c r="B256" s="192"/>
      <c r="C256" s="192"/>
      <c r="D256" s="192"/>
      <c r="E256" s="192"/>
      <c r="F256" s="192">
        <f t="shared" si="227"/>
        <v>1</v>
      </c>
      <c r="G256" s="192">
        <f t="shared" si="228"/>
        <v>0</v>
      </c>
      <c r="H256" s="193">
        <f t="shared" si="229"/>
        <v>0</v>
      </c>
      <c r="I256" s="192"/>
      <c r="J256" s="194">
        <f t="shared" si="233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4">
        <v>14.0</v>
      </c>
      <c r="B257" s="192"/>
      <c r="C257" s="192"/>
      <c r="D257" s="192"/>
      <c r="E257" s="192"/>
      <c r="F257" s="192">
        <f t="shared" si="227"/>
        <v>1</v>
      </c>
      <c r="G257" s="192">
        <f t="shared" si="228"/>
        <v>0</v>
      </c>
      <c r="H257" s="193">
        <f t="shared" si="229"/>
        <v>0</v>
      </c>
      <c r="I257" s="192"/>
      <c r="J257" s="194">
        <f t="shared" si="233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4"/>
      <c r="B259" s="144"/>
      <c r="C259" s="144"/>
      <c r="D259" s="144"/>
      <c r="E259" s="144"/>
      <c r="F259" s="144"/>
      <c r="G259" s="144"/>
      <c r="H259" s="145"/>
      <c r="I259" s="144"/>
      <c r="J259" s="175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0" t="s">
        <v>12</v>
      </c>
      <c r="C264" s="178" t="s">
        <v>61</v>
      </c>
      <c r="D264" s="52"/>
      <c r="E264" s="53"/>
      <c r="F264" s="224"/>
      <c r="G264" s="224"/>
      <c r="H264" s="180" t="s">
        <v>14</v>
      </c>
      <c r="I264" s="225" t="s">
        <v>15</v>
      </c>
      <c r="J264" s="160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1.0</v>
      </c>
      <c r="B265" s="182" t="s">
        <v>55</v>
      </c>
      <c r="C265" s="198"/>
      <c r="D265" s="198"/>
      <c r="E265" s="198"/>
      <c r="F265" s="198"/>
      <c r="G265" s="198"/>
      <c r="H265" s="226">
        <v>29.0</v>
      </c>
      <c r="I265" s="198">
        <v>1.0</v>
      </c>
      <c r="J265" s="194">
        <f t="shared" ref="J265:J297" si="234">+I265*H265</f>
        <v>29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0">
        <v>2.0</v>
      </c>
      <c r="B266" s="192" t="s">
        <v>55</v>
      </c>
      <c r="C266" s="198"/>
      <c r="D266" s="198"/>
      <c r="E266" s="198"/>
      <c r="F266" s="198"/>
      <c r="G266" s="198"/>
      <c r="H266" s="226">
        <v>19.0</v>
      </c>
      <c r="I266" s="198">
        <v>1.0</v>
      </c>
      <c r="J266" s="194">
        <f t="shared" si="234"/>
        <v>19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0">
        <v>3.0</v>
      </c>
      <c r="B267" s="182" t="s">
        <v>115</v>
      </c>
      <c r="C267" s="198"/>
      <c r="D267" s="198"/>
      <c r="E267" s="198"/>
      <c r="F267" s="198"/>
      <c r="G267" s="198"/>
      <c r="H267" s="226">
        <v>35.0</v>
      </c>
      <c r="I267" s="198">
        <v>1.0</v>
      </c>
      <c r="J267" s="194">
        <f t="shared" si="234"/>
        <v>35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0">
        <v>4.0</v>
      </c>
      <c r="B268" s="192" t="s">
        <v>115</v>
      </c>
      <c r="C268" s="198"/>
      <c r="D268" s="198"/>
      <c r="E268" s="198"/>
      <c r="F268" s="198"/>
      <c r="G268" s="198"/>
      <c r="H268" s="226">
        <v>12.0</v>
      </c>
      <c r="I268" s="198">
        <v>1.0</v>
      </c>
      <c r="J268" s="194">
        <f t="shared" si="234"/>
        <v>12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0">
        <v>5.0</v>
      </c>
      <c r="B269" s="182" t="s">
        <v>79</v>
      </c>
      <c r="C269" s="198"/>
      <c r="D269" s="198"/>
      <c r="E269" s="198"/>
      <c r="F269" s="198"/>
      <c r="G269" s="198"/>
      <c r="H269" s="226">
        <v>22.0</v>
      </c>
      <c r="I269" s="198">
        <v>1.0</v>
      </c>
      <c r="J269" s="194">
        <f t="shared" si="234"/>
        <v>22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0">
        <v>6.0</v>
      </c>
      <c r="B270" s="192" t="s">
        <v>79</v>
      </c>
      <c r="C270" s="198"/>
      <c r="D270" s="198"/>
      <c r="E270" s="198"/>
      <c r="F270" s="198"/>
      <c r="G270" s="198"/>
      <c r="H270" s="226">
        <v>14.0</v>
      </c>
      <c r="I270" s="198">
        <v>1.0</v>
      </c>
      <c r="J270" s="194">
        <f t="shared" si="234"/>
        <v>14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0">
        <v>7.0</v>
      </c>
      <c r="B271" s="182" t="s">
        <v>26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si="234"/>
        <v>29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customHeight="1">
      <c r="A272" s="160">
        <v>8.0</v>
      </c>
      <c r="B272" s="192" t="s">
        <v>26</v>
      </c>
      <c r="C272" s="198"/>
      <c r="D272" s="198"/>
      <c r="E272" s="198"/>
      <c r="F272" s="198"/>
      <c r="G272" s="198"/>
      <c r="H272" s="226">
        <v>19.0</v>
      </c>
      <c r="I272" s="198">
        <v>1.0</v>
      </c>
      <c r="J272" s="194">
        <f t="shared" si="234"/>
        <v>19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hidden="1" customHeight="1">
      <c r="A273" s="160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4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hidden="1" customHeight="1">
      <c r="A274" s="160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4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0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4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0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4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0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4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0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4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0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4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0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4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0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4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0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4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4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4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4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4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4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4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4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4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4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4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7"/>
      <c r="C294" s="160"/>
      <c r="D294" s="160"/>
      <c r="E294" s="160"/>
      <c r="F294" s="160"/>
      <c r="G294" s="160"/>
      <c r="H294" s="160"/>
      <c r="I294" s="160"/>
      <c r="J294" s="194">
        <f t="shared" si="234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9"/>
      <c r="C295" s="160"/>
      <c r="D295" s="160"/>
      <c r="E295" s="160"/>
      <c r="F295" s="160"/>
      <c r="G295" s="160"/>
      <c r="H295" s="160"/>
      <c r="I295" s="160"/>
      <c r="J295" s="194">
        <f t="shared" si="234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30"/>
      <c r="C296" s="160"/>
      <c r="D296" s="160"/>
      <c r="E296" s="160"/>
      <c r="F296" s="160"/>
      <c r="G296" s="160"/>
      <c r="H296" s="160"/>
      <c r="I296" s="160"/>
      <c r="J296" s="194">
        <f t="shared" si="234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1"/>
      <c r="C297" s="160"/>
      <c r="D297" s="160"/>
      <c r="E297" s="160"/>
      <c r="F297" s="160"/>
      <c r="G297" s="160"/>
      <c r="H297" s="160"/>
      <c r="I297" s="160"/>
      <c r="J297" s="194">
        <f t="shared" si="234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SUM(J265:J297)</f>
        <v>179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4">
        <f>+J298*60%</f>
        <v>107.4</v>
      </c>
      <c r="K299" s="204"/>
      <c r="L299" s="204"/>
      <c r="M299" s="204"/>
      <c r="N299" s="204"/>
      <c r="O299" s="204"/>
      <c r="P299" s="204"/>
      <c r="Q299" s="204">
        <f>+J298*40%</f>
        <v>71.6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+E24</f>
        <v>32177.423</v>
      </c>
      <c r="C304" s="241">
        <f>+J237</f>
        <v>28739.91616</v>
      </c>
      <c r="D304" s="241">
        <f>+J258</f>
        <v>0</v>
      </c>
      <c r="E304" s="242">
        <f>J299</f>
        <v>107.4</v>
      </c>
      <c r="F304" s="242"/>
      <c r="G304" s="242"/>
      <c r="H304" s="243">
        <f>+I24</f>
        <v>2287.966905</v>
      </c>
      <c r="I304" s="244">
        <f>+B304-C304-D304-E304-H304</f>
        <v>1042.139937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0.8931702255</v>
      </c>
      <c r="D305" s="247">
        <f>+D304/B304</f>
        <v>0</v>
      </c>
      <c r="E305" s="247">
        <f>+E304/B304</f>
        <v>0.003337743983</v>
      </c>
      <c r="F305" s="247"/>
      <c r="G305" s="247"/>
      <c r="H305" s="248">
        <f>+H304/B304</f>
        <v>0.07110472783</v>
      </c>
      <c r="I305" s="249">
        <f>+I304/B304</f>
        <v>0.03238730263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3437.506842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0.1068297745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118</v>
      </c>
      <c r="C8" s="154">
        <v>22.5</v>
      </c>
      <c r="D8" s="155">
        <v>0.1086</v>
      </c>
      <c r="E8" s="156">
        <f>208.59*31.5</f>
        <v>6570.585</v>
      </c>
      <c r="F8" s="156"/>
      <c r="G8" s="156"/>
      <c r="H8" s="157">
        <v>31.5</v>
      </c>
      <c r="I8" s="158">
        <f t="shared" ref="I8:I23" si="1">+D8*E8</f>
        <v>713.565531</v>
      </c>
      <c r="J8" s="159">
        <f t="shared" ref="J8:J23" si="2">E8-I8</f>
        <v>5857.019469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63</v>
      </c>
      <c r="C9" s="154">
        <v>25.5</v>
      </c>
      <c r="D9" s="155">
        <v>0.0577</v>
      </c>
      <c r="E9" s="156">
        <f>262.54*27.2</f>
        <v>7141.088</v>
      </c>
      <c r="F9" s="156"/>
      <c r="G9" s="156"/>
      <c r="H9" s="157">
        <v>27.2</v>
      </c>
      <c r="I9" s="158">
        <f t="shared" si="1"/>
        <v>412.0407776</v>
      </c>
      <c r="J9" s="159">
        <f t="shared" si="2"/>
        <v>6729.047222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115</v>
      </c>
      <c r="C10" s="154">
        <v>29.5</v>
      </c>
      <c r="D10" s="155">
        <v>0.0162</v>
      </c>
      <c r="E10" s="156">
        <f>233.28*50.5</f>
        <v>11780.64</v>
      </c>
      <c r="F10" s="156"/>
      <c r="G10" s="156"/>
      <c r="H10" s="157">
        <v>50.5</v>
      </c>
      <c r="I10" s="158">
        <f t="shared" si="1"/>
        <v>190.846368</v>
      </c>
      <c r="J10" s="159">
        <f t="shared" si="2"/>
        <v>11589.79363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119</v>
      </c>
      <c r="C11" s="154">
        <v>25.5</v>
      </c>
      <c r="D11" s="161">
        <v>0.0845</v>
      </c>
      <c r="E11" s="162">
        <f>224.19*15.9</f>
        <v>3564.621</v>
      </c>
      <c r="F11" s="162"/>
      <c r="G11" s="162"/>
      <c r="H11" s="157">
        <v>15.9</v>
      </c>
      <c r="I11" s="158">
        <f t="shared" si="1"/>
        <v>301.2104745</v>
      </c>
      <c r="J11" s="159">
        <f t="shared" si="2"/>
        <v>3263.410526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29056.934</v>
      </c>
      <c r="F24" s="168"/>
      <c r="G24" s="168"/>
      <c r="H24" s="169"/>
      <c r="I24" s="170">
        <f t="shared" ref="I24:J24" si="3">SUM(I8:I23)</f>
        <v>1617.663151</v>
      </c>
      <c r="J24" s="171">
        <f t="shared" si="3"/>
        <v>27439.27085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</row>
    <row r="30" ht="40.5" customHeight="1">
      <c r="A30" s="177"/>
      <c r="B30" s="160" t="s">
        <v>12</v>
      </c>
      <c r="C30" s="178" t="s">
        <v>56</v>
      </c>
      <c r="D30" s="52"/>
      <c r="E30" s="53"/>
      <c r="F30" s="179"/>
      <c r="G30" s="179"/>
      <c r="H30" s="180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7" t="s">
        <v>18</v>
      </c>
      <c r="O30" s="139"/>
      <c r="P30" s="139"/>
      <c r="Q30" s="177" t="s">
        <v>57</v>
      </c>
      <c r="R30" s="181"/>
      <c r="S30" s="160" t="s">
        <v>17</v>
      </c>
      <c r="T30" s="160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120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</row>
    <row r="31" ht="27.0" customHeight="1">
      <c r="A31" s="160">
        <v>1.0</v>
      </c>
      <c r="B31" s="182" t="s">
        <v>118</v>
      </c>
      <c r="C31" s="183">
        <v>80.0</v>
      </c>
      <c r="D31" s="183">
        <v>196.0</v>
      </c>
      <c r="E31" s="183">
        <v>197.0</v>
      </c>
      <c r="F31" s="183">
        <f t="shared" ref="F31:F236" si="5">VALUE(IF(RIGHT(B31, 1)="%", RIGHT(B31, 3), 0))</f>
        <v>0</v>
      </c>
      <c r="G31" s="183">
        <f t="shared" ref="G31:G236" si="6">+R31*C31/100*D31/100*E31/100</f>
        <v>67.95712</v>
      </c>
      <c r="H31" s="184">
        <f t="shared" ref="H31:H236" si="7">IF(F31=0, G31, F31*G31)</f>
        <v>67.95712</v>
      </c>
      <c r="I31" s="183">
        <v>1.0</v>
      </c>
      <c r="J31" s="185">
        <f t="shared" ref="J31:J236" si="8">+I31*H31</f>
        <v>67.95712</v>
      </c>
      <c r="K31" s="186"/>
      <c r="L31" s="187">
        <f>D31*25.4/1000</f>
        <v>4.9784</v>
      </c>
      <c r="M31" s="188">
        <f>+I31</f>
        <v>1</v>
      </c>
      <c r="N31" s="188">
        <f>M31*L31</f>
        <v>4.9784</v>
      </c>
      <c r="O31" s="186"/>
      <c r="P31" s="186"/>
      <c r="Q31" s="187">
        <v>85.5</v>
      </c>
      <c r="R31" s="189">
        <v>22.0</v>
      </c>
      <c r="S31" s="177">
        <f t="shared" ref="S31:S237" si="9">E31/100</f>
        <v>1.97</v>
      </c>
      <c r="T31" s="160">
        <f t="shared" ref="T31:T237" si="10">I31</f>
        <v>1</v>
      </c>
      <c r="U31" s="160">
        <f t="shared" ref="U31:U237" si="11">T31*S31</f>
        <v>1.97</v>
      </c>
      <c r="V31" s="190">
        <f t="shared" ref="V31:V94" si="12">R31*C31/100*D31/100*E31/100</f>
        <v>67.95712</v>
      </c>
      <c r="W31" s="177">
        <f t="shared" ref="W31:X31" si="4">C31/100</f>
        <v>0.8</v>
      </c>
      <c r="X31" s="177">
        <f t="shared" si="4"/>
        <v>1.96</v>
      </c>
      <c r="Y31" s="177">
        <f t="shared" ref="Y31:Y237" si="14">U31</f>
        <v>1.97</v>
      </c>
      <c r="Z31" s="191">
        <f t="shared" ref="Z31:Z237" si="15">W31*X31*Y31</f>
        <v>3.08896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</row>
    <row r="32" ht="27.0" customHeight="1">
      <c r="A32" s="160">
        <v>2.0</v>
      </c>
      <c r="B32" s="192" t="s">
        <v>118</v>
      </c>
      <c r="C32" s="192">
        <v>97.0</v>
      </c>
      <c r="D32" s="192">
        <v>193.0</v>
      </c>
      <c r="E32" s="192">
        <v>153.0</v>
      </c>
      <c r="F32" s="192">
        <f t="shared" si="5"/>
        <v>0</v>
      </c>
      <c r="G32" s="192">
        <f t="shared" si="6"/>
        <v>63.014886</v>
      </c>
      <c r="H32" s="193">
        <f t="shared" si="7"/>
        <v>63.014886</v>
      </c>
      <c r="I32" s="192">
        <v>1.0</v>
      </c>
      <c r="J32" s="194">
        <f t="shared" si="8"/>
        <v>63.014886</v>
      </c>
      <c r="K32" s="139"/>
      <c r="L32" s="177"/>
      <c r="M32" s="160"/>
      <c r="N32" s="160"/>
      <c r="O32" s="139"/>
      <c r="P32" s="139"/>
      <c r="Q32" s="177">
        <v>68.0</v>
      </c>
      <c r="R32" s="189">
        <v>22.0</v>
      </c>
      <c r="S32" s="177">
        <f t="shared" si="9"/>
        <v>1.53</v>
      </c>
      <c r="T32" s="160">
        <f t="shared" si="10"/>
        <v>1</v>
      </c>
      <c r="U32" s="160">
        <f t="shared" si="11"/>
        <v>1.53</v>
      </c>
      <c r="V32" s="190">
        <f t="shared" si="12"/>
        <v>63.014886</v>
      </c>
      <c r="W32" s="177">
        <f t="shared" ref="W32:X32" si="13">C32/100</f>
        <v>0.97</v>
      </c>
      <c r="X32" s="177">
        <f t="shared" si="13"/>
        <v>1.93</v>
      </c>
      <c r="Y32" s="177">
        <f t="shared" si="14"/>
        <v>1.53</v>
      </c>
      <c r="Z32" s="191">
        <f t="shared" si="15"/>
        <v>2.864313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</row>
    <row r="33" ht="27.0" customHeight="1">
      <c r="A33" s="160">
        <v>3.0</v>
      </c>
      <c r="B33" s="192" t="s">
        <v>118</v>
      </c>
      <c r="C33" s="192">
        <v>96.0</v>
      </c>
      <c r="D33" s="192">
        <v>193.0</v>
      </c>
      <c r="E33" s="192">
        <v>207.0</v>
      </c>
      <c r="F33" s="192">
        <f t="shared" si="5"/>
        <v>0</v>
      </c>
      <c r="G33" s="192">
        <f t="shared" si="6"/>
        <v>84.376512</v>
      </c>
      <c r="H33" s="193">
        <f t="shared" si="7"/>
        <v>84.376512</v>
      </c>
      <c r="I33" s="192">
        <v>1.0</v>
      </c>
      <c r="J33" s="194">
        <f t="shared" si="8"/>
        <v>84.376512</v>
      </c>
      <c r="K33" s="139"/>
      <c r="L33" s="177">
        <f t="shared" ref="L33:L55" si="17">D33*25.4/1000</f>
        <v>4.9022</v>
      </c>
      <c r="M33" s="160">
        <f t="shared" ref="M33:M68" si="18">+I33</f>
        <v>1</v>
      </c>
      <c r="N33" s="160">
        <f t="shared" ref="N33:N55" si="19">M33*L33</f>
        <v>4.9022</v>
      </c>
      <c r="O33" s="139"/>
      <c r="P33" s="139"/>
      <c r="Q33" s="177">
        <v>91.0</v>
      </c>
      <c r="R33" s="189">
        <v>22.0</v>
      </c>
      <c r="S33" s="177">
        <f t="shared" si="9"/>
        <v>2.07</v>
      </c>
      <c r="T33" s="160">
        <f t="shared" si="10"/>
        <v>1</v>
      </c>
      <c r="U33" s="160">
        <f t="shared" si="11"/>
        <v>2.07</v>
      </c>
      <c r="V33" s="190">
        <f t="shared" si="12"/>
        <v>84.376512</v>
      </c>
      <c r="W33" s="177">
        <f t="shared" ref="W33:X33" si="16">C33/100</f>
        <v>0.96</v>
      </c>
      <c r="X33" s="177">
        <f t="shared" si="16"/>
        <v>1.93</v>
      </c>
      <c r="Y33" s="177">
        <f t="shared" si="14"/>
        <v>2.07</v>
      </c>
      <c r="Z33" s="191">
        <f t="shared" si="15"/>
        <v>3.835296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</row>
    <row r="34" ht="27.0" customHeight="1">
      <c r="A34" s="160">
        <v>4.0</v>
      </c>
      <c r="B34" s="192" t="s">
        <v>118</v>
      </c>
      <c r="C34" s="192">
        <v>77.0</v>
      </c>
      <c r="D34" s="192">
        <v>193.0</v>
      </c>
      <c r="E34" s="192">
        <v>82.0</v>
      </c>
      <c r="F34" s="192">
        <f t="shared" si="5"/>
        <v>0</v>
      </c>
      <c r="G34" s="192">
        <f t="shared" si="6"/>
        <v>26.809244</v>
      </c>
      <c r="H34" s="193">
        <f t="shared" si="7"/>
        <v>26.809244</v>
      </c>
      <c r="I34" s="192">
        <v>1.0</v>
      </c>
      <c r="J34" s="194">
        <f t="shared" si="8"/>
        <v>26.809244</v>
      </c>
      <c r="K34" s="139"/>
      <c r="L34" s="177">
        <f t="shared" si="17"/>
        <v>4.9022</v>
      </c>
      <c r="M34" s="160">
        <f t="shared" si="18"/>
        <v>1</v>
      </c>
      <c r="N34" s="160">
        <f t="shared" si="19"/>
        <v>4.9022</v>
      </c>
      <c r="O34" s="139"/>
      <c r="P34" s="139"/>
      <c r="Q34" s="177">
        <v>34.0</v>
      </c>
      <c r="R34" s="189">
        <v>22.0</v>
      </c>
      <c r="S34" s="177">
        <f t="shared" si="9"/>
        <v>0.82</v>
      </c>
      <c r="T34" s="160">
        <f t="shared" si="10"/>
        <v>1</v>
      </c>
      <c r="U34" s="160">
        <f t="shared" si="11"/>
        <v>0.82</v>
      </c>
      <c r="V34" s="190">
        <f t="shared" si="12"/>
        <v>26.809244</v>
      </c>
      <c r="W34" s="177">
        <f t="shared" ref="W34:X34" si="20">C34/100</f>
        <v>0.77</v>
      </c>
      <c r="X34" s="177">
        <f t="shared" si="20"/>
        <v>1.93</v>
      </c>
      <c r="Y34" s="177">
        <f t="shared" si="14"/>
        <v>0.82</v>
      </c>
      <c r="Z34" s="191">
        <f t="shared" si="15"/>
        <v>1.218602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</row>
    <row r="35" ht="27.0" customHeight="1">
      <c r="A35" s="160">
        <v>5.0</v>
      </c>
      <c r="B35" s="192" t="s">
        <v>118</v>
      </c>
      <c r="C35" s="192">
        <v>82.0</v>
      </c>
      <c r="D35" s="192">
        <v>196.0</v>
      </c>
      <c r="E35" s="192">
        <v>197.0</v>
      </c>
      <c r="F35" s="192">
        <f t="shared" si="5"/>
        <v>0</v>
      </c>
      <c r="G35" s="192">
        <f t="shared" si="6"/>
        <v>69.656048</v>
      </c>
      <c r="H35" s="193">
        <f t="shared" si="7"/>
        <v>69.656048</v>
      </c>
      <c r="I35" s="192">
        <v>1.0</v>
      </c>
      <c r="J35" s="194">
        <f t="shared" si="8"/>
        <v>69.656048</v>
      </c>
      <c r="K35" s="139"/>
      <c r="L35" s="177">
        <f t="shared" si="17"/>
        <v>4.9784</v>
      </c>
      <c r="M35" s="160">
        <f t="shared" si="18"/>
        <v>1</v>
      </c>
      <c r="N35" s="160">
        <f t="shared" si="19"/>
        <v>4.9784</v>
      </c>
      <c r="O35" s="139"/>
      <c r="P35" s="139"/>
      <c r="Q35" s="177">
        <v>85.5</v>
      </c>
      <c r="R35" s="189">
        <v>22.0</v>
      </c>
      <c r="S35" s="177">
        <f t="shared" si="9"/>
        <v>1.97</v>
      </c>
      <c r="T35" s="160">
        <f t="shared" si="10"/>
        <v>1</v>
      </c>
      <c r="U35" s="160">
        <f t="shared" si="11"/>
        <v>1.97</v>
      </c>
      <c r="V35" s="190">
        <f t="shared" si="12"/>
        <v>69.656048</v>
      </c>
      <c r="W35" s="177">
        <f t="shared" ref="W35:X35" si="21">C35/100</f>
        <v>0.82</v>
      </c>
      <c r="X35" s="177">
        <f t="shared" si="21"/>
        <v>1.96</v>
      </c>
      <c r="Y35" s="177">
        <f t="shared" si="14"/>
        <v>1.97</v>
      </c>
      <c r="Z35" s="191">
        <f t="shared" si="15"/>
        <v>3.166184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</row>
    <row r="36" ht="27.0" customHeight="1">
      <c r="A36" s="160">
        <v>6.0</v>
      </c>
      <c r="B36" s="192" t="s">
        <v>118</v>
      </c>
      <c r="C36" s="192">
        <v>104.0</v>
      </c>
      <c r="D36" s="192">
        <v>193.0</v>
      </c>
      <c r="E36" s="192">
        <v>49.0</v>
      </c>
      <c r="F36" s="192">
        <f t="shared" si="5"/>
        <v>0</v>
      </c>
      <c r="G36" s="192">
        <f t="shared" si="6"/>
        <v>21.637616</v>
      </c>
      <c r="H36" s="193">
        <f t="shared" si="7"/>
        <v>21.637616</v>
      </c>
      <c r="I36" s="192">
        <v>1.0</v>
      </c>
      <c r="J36" s="194">
        <f t="shared" si="8"/>
        <v>21.637616</v>
      </c>
      <c r="K36" s="139"/>
      <c r="L36" s="177">
        <f t="shared" si="17"/>
        <v>4.9022</v>
      </c>
      <c r="M36" s="160">
        <f t="shared" si="18"/>
        <v>1</v>
      </c>
      <c r="N36" s="160">
        <f t="shared" si="19"/>
        <v>4.9022</v>
      </c>
      <c r="O36" s="139"/>
      <c r="P36" s="139"/>
      <c r="Q36" s="177">
        <v>42.0</v>
      </c>
      <c r="R36" s="189">
        <v>22.0</v>
      </c>
      <c r="S36" s="177">
        <f t="shared" si="9"/>
        <v>0.49</v>
      </c>
      <c r="T36" s="160">
        <f t="shared" si="10"/>
        <v>1</v>
      </c>
      <c r="U36" s="160">
        <f t="shared" si="11"/>
        <v>0.49</v>
      </c>
      <c r="V36" s="190">
        <f t="shared" si="12"/>
        <v>21.637616</v>
      </c>
      <c r="W36" s="177">
        <f t="shared" ref="W36:X36" si="22">C36/100</f>
        <v>1.04</v>
      </c>
      <c r="X36" s="177">
        <f t="shared" si="22"/>
        <v>1.93</v>
      </c>
      <c r="Y36" s="177">
        <f t="shared" si="14"/>
        <v>0.49</v>
      </c>
      <c r="Z36" s="191">
        <f t="shared" si="15"/>
        <v>0.983528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</row>
    <row r="37" ht="27.0" customHeight="1">
      <c r="A37" s="160">
        <v>7.0</v>
      </c>
      <c r="B37" s="192" t="s">
        <v>118</v>
      </c>
      <c r="C37" s="192">
        <v>106.0</v>
      </c>
      <c r="D37" s="192">
        <v>193.0</v>
      </c>
      <c r="E37" s="192">
        <v>72.0</v>
      </c>
      <c r="F37" s="192">
        <f t="shared" si="5"/>
        <v>0</v>
      </c>
      <c r="G37" s="192">
        <f t="shared" si="6"/>
        <v>32.405472</v>
      </c>
      <c r="H37" s="193">
        <f t="shared" si="7"/>
        <v>32.405472</v>
      </c>
      <c r="I37" s="192">
        <v>1.0</v>
      </c>
      <c r="J37" s="194">
        <f t="shared" si="8"/>
        <v>32.405472</v>
      </c>
      <c r="K37" s="139"/>
      <c r="L37" s="177">
        <f t="shared" si="17"/>
        <v>4.9022</v>
      </c>
      <c r="M37" s="160">
        <f t="shared" si="18"/>
        <v>1</v>
      </c>
      <c r="N37" s="160">
        <f t="shared" si="19"/>
        <v>4.9022</v>
      </c>
      <c r="O37" s="139"/>
      <c r="P37" s="139"/>
      <c r="Q37" s="177">
        <v>42.0</v>
      </c>
      <c r="R37" s="189">
        <v>22.0</v>
      </c>
      <c r="S37" s="177">
        <f t="shared" si="9"/>
        <v>0.72</v>
      </c>
      <c r="T37" s="160">
        <f t="shared" si="10"/>
        <v>1</v>
      </c>
      <c r="U37" s="160">
        <f t="shared" si="11"/>
        <v>0.72</v>
      </c>
      <c r="V37" s="190">
        <f t="shared" si="12"/>
        <v>32.405472</v>
      </c>
      <c r="W37" s="177">
        <f t="shared" ref="W37:X37" si="23">C37/100</f>
        <v>1.06</v>
      </c>
      <c r="X37" s="177">
        <f t="shared" si="23"/>
        <v>1.93</v>
      </c>
      <c r="Y37" s="177">
        <f t="shared" si="14"/>
        <v>0.72</v>
      </c>
      <c r="Z37" s="191">
        <f t="shared" si="15"/>
        <v>1.472976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</row>
    <row r="38" ht="27.0" customHeight="1">
      <c r="A38" s="160">
        <v>8.0</v>
      </c>
      <c r="B38" s="192" t="s">
        <v>118</v>
      </c>
      <c r="C38" s="192">
        <v>107.0</v>
      </c>
      <c r="D38" s="192">
        <v>195.0</v>
      </c>
      <c r="E38" s="192">
        <v>2890.0</v>
      </c>
      <c r="F38" s="192">
        <f t="shared" si="5"/>
        <v>0</v>
      </c>
      <c r="G38" s="192">
        <f t="shared" si="6"/>
        <v>1326.5967</v>
      </c>
      <c r="H38" s="193">
        <f t="shared" si="7"/>
        <v>1326.5967</v>
      </c>
      <c r="I38" s="192">
        <v>1.0</v>
      </c>
      <c r="J38" s="194">
        <f t="shared" si="8"/>
        <v>1326.5967</v>
      </c>
      <c r="K38" s="139"/>
      <c r="L38" s="177">
        <f t="shared" si="17"/>
        <v>4.953</v>
      </c>
      <c r="M38" s="160">
        <f t="shared" si="18"/>
        <v>1</v>
      </c>
      <c r="N38" s="160">
        <f t="shared" si="19"/>
        <v>4.953</v>
      </c>
      <c r="O38" s="139"/>
      <c r="P38" s="139"/>
      <c r="Q38" s="177">
        <v>1315.0</v>
      </c>
      <c r="R38" s="189">
        <v>22.0</v>
      </c>
      <c r="S38" s="177">
        <f t="shared" si="9"/>
        <v>28.9</v>
      </c>
      <c r="T38" s="160">
        <f t="shared" si="10"/>
        <v>1</v>
      </c>
      <c r="U38" s="160">
        <f t="shared" si="11"/>
        <v>28.9</v>
      </c>
      <c r="V38" s="190">
        <f t="shared" si="12"/>
        <v>1326.5967</v>
      </c>
      <c r="W38" s="177">
        <f t="shared" ref="W38:X38" si="24">C38/100</f>
        <v>1.07</v>
      </c>
      <c r="X38" s="177">
        <f t="shared" si="24"/>
        <v>1.95</v>
      </c>
      <c r="Y38" s="177">
        <f t="shared" si="14"/>
        <v>28.9</v>
      </c>
      <c r="Z38" s="191">
        <f t="shared" si="15"/>
        <v>60.29985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</row>
    <row r="39" ht="27.0" customHeight="1">
      <c r="A39" s="160">
        <v>9.0</v>
      </c>
      <c r="B39" s="192" t="s">
        <v>118</v>
      </c>
      <c r="C39" s="192">
        <v>109.0</v>
      </c>
      <c r="D39" s="192">
        <v>195.0</v>
      </c>
      <c r="E39" s="192">
        <v>2888.0</v>
      </c>
      <c r="F39" s="192">
        <f t="shared" si="5"/>
        <v>0</v>
      </c>
      <c r="G39" s="192">
        <f t="shared" si="6"/>
        <v>1350.45768</v>
      </c>
      <c r="H39" s="193">
        <f t="shared" si="7"/>
        <v>1350.45768</v>
      </c>
      <c r="I39" s="192">
        <v>1.0</v>
      </c>
      <c r="J39" s="194">
        <f t="shared" si="8"/>
        <v>1350.45768</v>
      </c>
      <c r="K39" s="139"/>
      <c r="L39" s="177">
        <f t="shared" si="17"/>
        <v>4.953</v>
      </c>
      <c r="M39" s="160">
        <f t="shared" si="18"/>
        <v>1</v>
      </c>
      <c r="N39" s="160">
        <f t="shared" si="19"/>
        <v>4.953</v>
      </c>
      <c r="O39" s="139"/>
      <c r="P39" s="139"/>
      <c r="Q39" s="177">
        <v>1310.0</v>
      </c>
      <c r="R39" s="189">
        <v>22.0</v>
      </c>
      <c r="S39" s="177">
        <f t="shared" si="9"/>
        <v>28.88</v>
      </c>
      <c r="T39" s="160">
        <f t="shared" si="10"/>
        <v>1</v>
      </c>
      <c r="U39" s="160">
        <f t="shared" si="11"/>
        <v>28.88</v>
      </c>
      <c r="V39" s="190">
        <f t="shared" si="12"/>
        <v>1350.45768</v>
      </c>
      <c r="W39" s="177">
        <f t="shared" ref="W39:X39" si="25">C39/100</f>
        <v>1.09</v>
      </c>
      <c r="X39" s="177">
        <f t="shared" si="25"/>
        <v>1.95</v>
      </c>
      <c r="Y39" s="177">
        <f t="shared" si="14"/>
        <v>28.88</v>
      </c>
      <c r="Z39" s="191">
        <f t="shared" si="15"/>
        <v>61.38444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</row>
    <row r="40" ht="27.0" customHeight="1">
      <c r="A40" s="160">
        <v>10.0</v>
      </c>
      <c r="B40" s="192" t="s">
        <v>118</v>
      </c>
      <c r="C40" s="192">
        <v>105.0</v>
      </c>
      <c r="D40" s="192">
        <v>195.0</v>
      </c>
      <c r="E40" s="192">
        <v>2898.0</v>
      </c>
      <c r="F40" s="192">
        <f t="shared" si="5"/>
        <v>0</v>
      </c>
      <c r="G40" s="192">
        <f t="shared" si="6"/>
        <v>1305.4041</v>
      </c>
      <c r="H40" s="193">
        <f t="shared" si="7"/>
        <v>1305.4041</v>
      </c>
      <c r="I40" s="192">
        <v>1.0</v>
      </c>
      <c r="J40" s="194">
        <f t="shared" si="8"/>
        <v>1305.4041</v>
      </c>
      <c r="K40" s="139"/>
      <c r="L40" s="177">
        <f t="shared" si="17"/>
        <v>4.953</v>
      </c>
      <c r="M40" s="160">
        <f t="shared" si="18"/>
        <v>1</v>
      </c>
      <c r="N40" s="160">
        <f t="shared" si="19"/>
        <v>4.953</v>
      </c>
      <c r="O40" s="139"/>
      <c r="P40" s="139"/>
      <c r="Q40" s="177">
        <v>1255.0</v>
      </c>
      <c r="R40" s="189">
        <v>22.0</v>
      </c>
      <c r="S40" s="177">
        <f t="shared" si="9"/>
        <v>28.98</v>
      </c>
      <c r="T40" s="160">
        <f t="shared" si="10"/>
        <v>1</v>
      </c>
      <c r="U40" s="160">
        <f t="shared" si="11"/>
        <v>28.98</v>
      </c>
      <c r="V40" s="190">
        <f t="shared" si="12"/>
        <v>1305.4041</v>
      </c>
      <c r="W40" s="177">
        <f t="shared" ref="W40:X40" si="26">C40/100</f>
        <v>1.05</v>
      </c>
      <c r="X40" s="177">
        <f t="shared" si="26"/>
        <v>1.95</v>
      </c>
      <c r="Y40" s="177">
        <f t="shared" si="14"/>
        <v>28.98</v>
      </c>
      <c r="Z40" s="191">
        <f t="shared" si="15"/>
        <v>59.33655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</row>
    <row r="41" ht="27.0" customHeight="1">
      <c r="A41" s="160">
        <v>11.0</v>
      </c>
      <c r="B41" s="192" t="s">
        <v>118</v>
      </c>
      <c r="C41" s="192">
        <v>108.0</v>
      </c>
      <c r="D41" s="192">
        <v>195.0</v>
      </c>
      <c r="E41" s="192">
        <v>2890.0</v>
      </c>
      <c r="F41" s="192">
        <f t="shared" si="5"/>
        <v>0</v>
      </c>
      <c r="G41" s="192">
        <f t="shared" si="6"/>
        <v>1338.9948</v>
      </c>
      <c r="H41" s="193">
        <f t="shared" si="7"/>
        <v>1338.9948</v>
      </c>
      <c r="I41" s="192">
        <v>1.0</v>
      </c>
      <c r="J41" s="194">
        <f t="shared" si="8"/>
        <v>1338.9948</v>
      </c>
      <c r="K41" s="139"/>
      <c r="L41" s="177">
        <f t="shared" si="17"/>
        <v>4.953</v>
      </c>
      <c r="M41" s="160">
        <f t="shared" si="18"/>
        <v>1</v>
      </c>
      <c r="N41" s="160">
        <f t="shared" si="19"/>
        <v>4.953</v>
      </c>
      <c r="O41" s="139"/>
      <c r="P41" s="139"/>
      <c r="Q41" s="177">
        <v>1280.0</v>
      </c>
      <c r="R41" s="189">
        <v>22.0</v>
      </c>
      <c r="S41" s="177">
        <f t="shared" si="9"/>
        <v>28.9</v>
      </c>
      <c r="T41" s="160">
        <f t="shared" si="10"/>
        <v>1</v>
      </c>
      <c r="U41" s="160">
        <f t="shared" si="11"/>
        <v>28.9</v>
      </c>
      <c r="V41" s="190">
        <f t="shared" si="12"/>
        <v>1338.9948</v>
      </c>
      <c r="W41" s="177">
        <f t="shared" ref="W41:X41" si="27">C41/100</f>
        <v>1.08</v>
      </c>
      <c r="X41" s="177">
        <f t="shared" si="27"/>
        <v>1.95</v>
      </c>
      <c r="Y41" s="177">
        <f t="shared" si="14"/>
        <v>28.9</v>
      </c>
      <c r="Z41" s="191">
        <f t="shared" si="15"/>
        <v>60.8634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</row>
    <row r="42" ht="27.0" customHeight="1">
      <c r="A42" s="160">
        <v>12.0</v>
      </c>
      <c r="B42" s="182" t="s">
        <v>63</v>
      </c>
      <c r="C42" s="183">
        <v>83.0</v>
      </c>
      <c r="D42" s="183">
        <v>204.0</v>
      </c>
      <c r="E42" s="183">
        <v>194.0</v>
      </c>
      <c r="F42" s="183">
        <f t="shared" si="5"/>
        <v>0</v>
      </c>
      <c r="G42" s="183">
        <f t="shared" si="6"/>
        <v>83.762604</v>
      </c>
      <c r="H42" s="184">
        <f t="shared" si="7"/>
        <v>83.762604</v>
      </c>
      <c r="I42" s="183">
        <v>1.0</v>
      </c>
      <c r="J42" s="185">
        <f t="shared" si="8"/>
        <v>83.762604</v>
      </c>
      <c r="K42" s="186"/>
      <c r="L42" s="187">
        <f t="shared" si="17"/>
        <v>5.1816</v>
      </c>
      <c r="M42" s="188">
        <f t="shared" si="18"/>
        <v>1</v>
      </c>
      <c r="N42" s="188">
        <f t="shared" si="19"/>
        <v>5.1816</v>
      </c>
      <c r="O42" s="186"/>
      <c r="P42" s="186"/>
      <c r="Q42" s="187">
        <v>95.0</v>
      </c>
      <c r="R42" s="189">
        <v>25.5</v>
      </c>
      <c r="S42" s="177">
        <f t="shared" si="9"/>
        <v>1.94</v>
      </c>
      <c r="T42" s="160">
        <f t="shared" si="10"/>
        <v>1</v>
      </c>
      <c r="U42" s="160">
        <f t="shared" si="11"/>
        <v>1.94</v>
      </c>
      <c r="V42" s="190">
        <f t="shared" si="12"/>
        <v>83.762604</v>
      </c>
      <c r="W42" s="177">
        <f t="shared" ref="W42:X42" si="28">C42/100</f>
        <v>0.83</v>
      </c>
      <c r="X42" s="177">
        <f t="shared" si="28"/>
        <v>2.04</v>
      </c>
      <c r="Y42" s="177">
        <f t="shared" si="14"/>
        <v>1.94</v>
      </c>
      <c r="Z42" s="191">
        <f t="shared" si="15"/>
        <v>3.284808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</row>
    <row r="43" ht="27.0" customHeight="1">
      <c r="A43" s="160">
        <v>13.0</v>
      </c>
      <c r="B43" s="192" t="s">
        <v>63</v>
      </c>
      <c r="C43" s="192">
        <v>102.0</v>
      </c>
      <c r="D43" s="192">
        <v>204.0</v>
      </c>
      <c r="E43" s="192">
        <v>200.0</v>
      </c>
      <c r="F43" s="192">
        <f t="shared" si="5"/>
        <v>0</v>
      </c>
      <c r="G43" s="192">
        <f t="shared" si="6"/>
        <v>106.1208</v>
      </c>
      <c r="H43" s="193">
        <f t="shared" si="7"/>
        <v>106.1208</v>
      </c>
      <c r="I43" s="192">
        <v>1.0</v>
      </c>
      <c r="J43" s="194">
        <f t="shared" si="8"/>
        <v>106.1208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107.0</v>
      </c>
      <c r="R43" s="189">
        <v>25.5</v>
      </c>
      <c r="S43" s="177">
        <f t="shared" si="9"/>
        <v>2</v>
      </c>
      <c r="T43" s="160">
        <f t="shared" si="10"/>
        <v>1</v>
      </c>
      <c r="U43" s="160">
        <f t="shared" si="11"/>
        <v>2</v>
      </c>
      <c r="V43" s="190">
        <f t="shared" si="12"/>
        <v>106.1208</v>
      </c>
      <c r="W43" s="177">
        <f t="shared" ref="W43:X43" si="29">C43/100</f>
        <v>1.02</v>
      </c>
      <c r="X43" s="177">
        <f t="shared" si="29"/>
        <v>2.04</v>
      </c>
      <c r="Y43" s="177">
        <f t="shared" si="14"/>
        <v>2</v>
      </c>
      <c r="Z43" s="191">
        <f t="shared" si="15"/>
        <v>4.1616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</row>
    <row r="44" ht="27.0" customHeight="1">
      <c r="A44" s="160">
        <v>14.0</v>
      </c>
      <c r="B44" s="192" t="s">
        <v>63</v>
      </c>
      <c r="C44" s="192">
        <v>85.0</v>
      </c>
      <c r="D44" s="192">
        <v>202.0</v>
      </c>
      <c r="E44" s="192">
        <v>83.0</v>
      </c>
      <c r="F44" s="192">
        <f t="shared" si="5"/>
        <v>0</v>
      </c>
      <c r="G44" s="192">
        <f t="shared" si="6"/>
        <v>36.340305</v>
      </c>
      <c r="H44" s="193">
        <f t="shared" si="7"/>
        <v>36.340305</v>
      </c>
      <c r="I44" s="192">
        <v>1.0</v>
      </c>
      <c r="J44" s="194">
        <f t="shared" si="8"/>
        <v>36.340305</v>
      </c>
      <c r="K44" s="139"/>
      <c r="L44" s="177">
        <f t="shared" si="17"/>
        <v>5.1308</v>
      </c>
      <c r="M44" s="160">
        <f t="shared" si="18"/>
        <v>1</v>
      </c>
      <c r="N44" s="160">
        <f t="shared" si="19"/>
        <v>5.1308</v>
      </c>
      <c r="O44" s="139"/>
      <c r="P44" s="139"/>
      <c r="Q44" s="177">
        <v>42.0</v>
      </c>
      <c r="R44" s="189">
        <v>25.5</v>
      </c>
      <c r="S44" s="177">
        <f t="shared" si="9"/>
        <v>0.83</v>
      </c>
      <c r="T44" s="160">
        <f t="shared" si="10"/>
        <v>1</v>
      </c>
      <c r="U44" s="160">
        <f t="shared" si="11"/>
        <v>0.83</v>
      </c>
      <c r="V44" s="190">
        <f t="shared" si="12"/>
        <v>36.340305</v>
      </c>
      <c r="W44" s="177">
        <f t="shared" ref="W44:X44" si="30">C44/100</f>
        <v>0.85</v>
      </c>
      <c r="X44" s="177">
        <f t="shared" si="30"/>
        <v>2.02</v>
      </c>
      <c r="Y44" s="177">
        <f t="shared" si="14"/>
        <v>0.83</v>
      </c>
      <c r="Z44" s="191">
        <f t="shared" si="15"/>
        <v>1.42511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</row>
    <row r="45" ht="27.0" customHeight="1">
      <c r="A45" s="160">
        <v>15.0</v>
      </c>
      <c r="B45" s="192" t="s">
        <v>63</v>
      </c>
      <c r="C45" s="192">
        <v>101.0</v>
      </c>
      <c r="D45" s="192">
        <v>203.0</v>
      </c>
      <c r="E45" s="192">
        <v>194.0</v>
      </c>
      <c r="F45" s="192">
        <f t="shared" si="5"/>
        <v>0</v>
      </c>
      <c r="G45" s="192">
        <f t="shared" si="6"/>
        <v>101.428341</v>
      </c>
      <c r="H45" s="193">
        <f t="shared" si="7"/>
        <v>101.428341</v>
      </c>
      <c r="I45" s="192">
        <v>1.0</v>
      </c>
      <c r="J45" s="194">
        <f t="shared" si="8"/>
        <v>101.428341</v>
      </c>
      <c r="K45" s="139"/>
      <c r="L45" s="177">
        <f t="shared" si="17"/>
        <v>5.1562</v>
      </c>
      <c r="M45" s="160">
        <f t="shared" si="18"/>
        <v>1</v>
      </c>
      <c r="N45" s="160">
        <f t="shared" si="19"/>
        <v>5.1562</v>
      </c>
      <c r="O45" s="139"/>
      <c r="P45" s="139"/>
      <c r="Q45" s="177">
        <v>102.0</v>
      </c>
      <c r="R45" s="189">
        <v>25.5</v>
      </c>
      <c r="S45" s="177">
        <f t="shared" si="9"/>
        <v>1.94</v>
      </c>
      <c r="T45" s="160">
        <f t="shared" si="10"/>
        <v>1</v>
      </c>
      <c r="U45" s="160">
        <f t="shared" si="11"/>
        <v>1.94</v>
      </c>
      <c r="V45" s="190">
        <f t="shared" si="12"/>
        <v>101.428341</v>
      </c>
      <c r="W45" s="177">
        <f t="shared" ref="W45:X45" si="31">C45/100</f>
        <v>1.01</v>
      </c>
      <c r="X45" s="177">
        <f t="shared" si="31"/>
        <v>2.03</v>
      </c>
      <c r="Y45" s="177">
        <f t="shared" si="14"/>
        <v>1.94</v>
      </c>
      <c r="Z45" s="191">
        <f t="shared" si="15"/>
        <v>3.977582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</row>
    <row r="46" ht="27.0" customHeight="1">
      <c r="A46" s="160">
        <v>16.0</v>
      </c>
      <c r="B46" s="192" t="s">
        <v>63</v>
      </c>
      <c r="C46" s="192">
        <v>93.0</v>
      </c>
      <c r="D46" s="192">
        <v>203.0</v>
      </c>
      <c r="E46" s="192">
        <v>200.0</v>
      </c>
      <c r="F46" s="192">
        <f t="shared" si="5"/>
        <v>0</v>
      </c>
      <c r="G46" s="192">
        <f t="shared" si="6"/>
        <v>96.2829</v>
      </c>
      <c r="H46" s="193">
        <f t="shared" si="7"/>
        <v>96.2829</v>
      </c>
      <c r="I46" s="192">
        <v>1.0</v>
      </c>
      <c r="J46" s="194">
        <f t="shared" si="8"/>
        <v>96.2829</v>
      </c>
      <c r="K46" s="139"/>
      <c r="L46" s="177">
        <f t="shared" si="17"/>
        <v>5.1562</v>
      </c>
      <c r="M46" s="160">
        <f t="shared" si="18"/>
        <v>1</v>
      </c>
      <c r="N46" s="160">
        <f t="shared" si="19"/>
        <v>5.1562</v>
      </c>
      <c r="O46" s="139"/>
      <c r="P46" s="139"/>
      <c r="Q46" s="177">
        <v>103.0</v>
      </c>
      <c r="R46" s="189">
        <v>25.5</v>
      </c>
      <c r="S46" s="177">
        <f t="shared" si="9"/>
        <v>2</v>
      </c>
      <c r="T46" s="160">
        <f t="shared" si="10"/>
        <v>1</v>
      </c>
      <c r="U46" s="160">
        <f t="shared" si="11"/>
        <v>2</v>
      </c>
      <c r="V46" s="190">
        <f t="shared" si="12"/>
        <v>96.2829</v>
      </c>
      <c r="W46" s="177">
        <f t="shared" ref="W46:X46" si="32">C46/100</f>
        <v>0.93</v>
      </c>
      <c r="X46" s="177">
        <f t="shared" si="32"/>
        <v>2.03</v>
      </c>
      <c r="Y46" s="177">
        <f t="shared" si="14"/>
        <v>2</v>
      </c>
      <c r="Z46" s="191">
        <f t="shared" si="15"/>
        <v>3.7758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</row>
    <row r="47" ht="27.0" customHeight="1">
      <c r="A47" s="160">
        <v>17.0</v>
      </c>
      <c r="B47" s="192" t="s">
        <v>63</v>
      </c>
      <c r="C47" s="192">
        <v>102.0</v>
      </c>
      <c r="D47" s="192">
        <v>204.0</v>
      </c>
      <c r="E47" s="192">
        <v>2862.0</v>
      </c>
      <c r="F47" s="192">
        <f t="shared" si="5"/>
        <v>0</v>
      </c>
      <c r="G47" s="192">
        <f t="shared" si="6"/>
        <v>1518.588648</v>
      </c>
      <c r="H47" s="193">
        <f t="shared" si="7"/>
        <v>1518.588648</v>
      </c>
      <c r="I47" s="192">
        <v>1.0</v>
      </c>
      <c r="J47" s="194">
        <f t="shared" si="8"/>
        <v>1518.588648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1520.0</v>
      </c>
      <c r="R47" s="189">
        <v>25.5</v>
      </c>
      <c r="S47" s="177">
        <f t="shared" si="9"/>
        <v>28.62</v>
      </c>
      <c r="T47" s="160">
        <f t="shared" si="10"/>
        <v>1</v>
      </c>
      <c r="U47" s="160">
        <f t="shared" si="11"/>
        <v>28.62</v>
      </c>
      <c r="V47" s="190">
        <f t="shared" si="12"/>
        <v>1518.588648</v>
      </c>
      <c r="W47" s="177">
        <f t="shared" ref="W47:X47" si="33">C47/100</f>
        <v>1.02</v>
      </c>
      <c r="X47" s="177">
        <f t="shared" si="33"/>
        <v>2.04</v>
      </c>
      <c r="Y47" s="177">
        <f t="shared" si="14"/>
        <v>28.62</v>
      </c>
      <c r="Z47" s="191">
        <f t="shared" si="15"/>
        <v>59.552496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</row>
    <row r="48" ht="27.0" customHeight="1">
      <c r="A48" s="160">
        <v>18.0</v>
      </c>
      <c r="B48" s="192" t="s">
        <v>63</v>
      </c>
      <c r="C48" s="192">
        <v>102.0</v>
      </c>
      <c r="D48" s="192">
        <v>204.0</v>
      </c>
      <c r="E48" s="192">
        <v>2871.0</v>
      </c>
      <c r="F48" s="192">
        <f t="shared" si="5"/>
        <v>0</v>
      </c>
      <c r="G48" s="192">
        <f t="shared" si="6"/>
        <v>1523.364084</v>
      </c>
      <c r="H48" s="193">
        <f t="shared" si="7"/>
        <v>1523.364084</v>
      </c>
      <c r="I48" s="192">
        <v>1.0</v>
      </c>
      <c r="J48" s="194">
        <f t="shared" si="8"/>
        <v>1523.364084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1535.0</v>
      </c>
      <c r="R48" s="189">
        <v>25.5</v>
      </c>
      <c r="S48" s="177">
        <f t="shared" si="9"/>
        <v>28.71</v>
      </c>
      <c r="T48" s="160">
        <f t="shared" si="10"/>
        <v>1</v>
      </c>
      <c r="U48" s="160">
        <f t="shared" si="11"/>
        <v>28.71</v>
      </c>
      <c r="V48" s="190">
        <f t="shared" si="12"/>
        <v>1523.364084</v>
      </c>
      <c r="W48" s="177">
        <f t="shared" ref="W48:X48" si="34">C48/100</f>
        <v>1.02</v>
      </c>
      <c r="X48" s="177">
        <f t="shared" si="34"/>
        <v>2.04</v>
      </c>
      <c r="Y48" s="177">
        <f t="shared" si="14"/>
        <v>28.71</v>
      </c>
      <c r="Z48" s="191">
        <f t="shared" si="15"/>
        <v>59.739768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</row>
    <row r="49" ht="27.0" customHeight="1">
      <c r="A49" s="160">
        <v>19.0</v>
      </c>
      <c r="B49" s="192" t="s">
        <v>63</v>
      </c>
      <c r="C49" s="192">
        <v>101.0</v>
      </c>
      <c r="D49" s="192">
        <v>204.0</v>
      </c>
      <c r="E49" s="192">
        <v>2876.0</v>
      </c>
      <c r="F49" s="192">
        <f t="shared" si="5"/>
        <v>0</v>
      </c>
      <c r="G49" s="192">
        <f t="shared" si="6"/>
        <v>1511.056152</v>
      </c>
      <c r="H49" s="193">
        <f t="shared" si="7"/>
        <v>1511.056152</v>
      </c>
      <c r="I49" s="192">
        <v>1.0</v>
      </c>
      <c r="J49" s="194">
        <f t="shared" si="8"/>
        <v>1511.056152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1500.0</v>
      </c>
      <c r="R49" s="189">
        <v>25.5</v>
      </c>
      <c r="S49" s="177">
        <f t="shared" si="9"/>
        <v>28.76</v>
      </c>
      <c r="T49" s="160">
        <f t="shared" si="10"/>
        <v>1</v>
      </c>
      <c r="U49" s="160">
        <f t="shared" si="11"/>
        <v>28.76</v>
      </c>
      <c r="V49" s="190">
        <f t="shared" si="12"/>
        <v>1511.056152</v>
      </c>
      <c r="W49" s="177">
        <f t="shared" ref="W49:X49" si="35">C49/100</f>
        <v>1.01</v>
      </c>
      <c r="X49" s="177">
        <f t="shared" si="35"/>
        <v>2.04</v>
      </c>
      <c r="Y49" s="177">
        <f t="shared" si="14"/>
        <v>28.76</v>
      </c>
      <c r="Z49" s="191">
        <f t="shared" si="15"/>
        <v>59.257104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</row>
    <row r="50" ht="27.0" customHeight="1">
      <c r="A50" s="160">
        <v>20.0</v>
      </c>
      <c r="B50" s="192" t="s">
        <v>63</v>
      </c>
      <c r="C50" s="192">
        <v>103.0</v>
      </c>
      <c r="D50" s="192">
        <v>204.0</v>
      </c>
      <c r="E50" s="192">
        <v>2866.0</v>
      </c>
      <c r="F50" s="192">
        <f t="shared" si="5"/>
        <v>0</v>
      </c>
      <c r="G50" s="192">
        <f t="shared" si="6"/>
        <v>1535.619996</v>
      </c>
      <c r="H50" s="193">
        <f t="shared" si="7"/>
        <v>1535.619996</v>
      </c>
      <c r="I50" s="192">
        <v>1.0</v>
      </c>
      <c r="J50" s="194">
        <f t="shared" si="8"/>
        <v>1535.619996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1500.0</v>
      </c>
      <c r="R50" s="189">
        <v>25.5</v>
      </c>
      <c r="S50" s="177">
        <f t="shared" si="9"/>
        <v>28.66</v>
      </c>
      <c r="T50" s="160">
        <f t="shared" si="10"/>
        <v>1</v>
      </c>
      <c r="U50" s="160">
        <f t="shared" si="11"/>
        <v>28.66</v>
      </c>
      <c r="V50" s="190">
        <f t="shared" si="12"/>
        <v>1535.619996</v>
      </c>
      <c r="W50" s="177">
        <f t="shared" ref="W50:X50" si="36">C50/100</f>
        <v>1.03</v>
      </c>
      <c r="X50" s="177">
        <f t="shared" si="36"/>
        <v>2.04</v>
      </c>
      <c r="Y50" s="177">
        <f t="shared" si="14"/>
        <v>28.66</v>
      </c>
      <c r="Z50" s="191">
        <f t="shared" si="15"/>
        <v>60.220392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</row>
    <row r="51" ht="27.0" customHeight="1">
      <c r="A51" s="160">
        <v>21.0</v>
      </c>
      <c r="B51" s="182" t="s">
        <v>115</v>
      </c>
      <c r="C51" s="183">
        <v>79.0</v>
      </c>
      <c r="D51" s="183">
        <v>184.0</v>
      </c>
      <c r="E51" s="183">
        <v>182.0</v>
      </c>
      <c r="F51" s="183">
        <f t="shared" si="5"/>
        <v>0</v>
      </c>
      <c r="G51" s="183">
        <f t="shared" si="6"/>
        <v>78.043784</v>
      </c>
      <c r="H51" s="184">
        <f t="shared" si="7"/>
        <v>78.043784</v>
      </c>
      <c r="I51" s="183">
        <v>1.0</v>
      </c>
      <c r="J51" s="185">
        <f t="shared" si="8"/>
        <v>78.043784</v>
      </c>
      <c r="K51" s="186"/>
      <c r="L51" s="187">
        <f t="shared" si="17"/>
        <v>4.6736</v>
      </c>
      <c r="M51" s="188">
        <f t="shared" si="18"/>
        <v>1</v>
      </c>
      <c r="N51" s="188">
        <f t="shared" si="19"/>
        <v>4.6736</v>
      </c>
      <c r="O51" s="186"/>
      <c r="P51" s="186"/>
      <c r="Q51" s="187">
        <v>93.0</v>
      </c>
      <c r="R51" s="189">
        <v>29.5</v>
      </c>
      <c r="S51" s="177">
        <f t="shared" si="9"/>
        <v>1.82</v>
      </c>
      <c r="T51" s="160">
        <f t="shared" si="10"/>
        <v>1</v>
      </c>
      <c r="U51" s="160">
        <f t="shared" si="11"/>
        <v>1.82</v>
      </c>
      <c r="V51" s="190">
        <f t="shared" si="12"/>
        <v>78.043784</v>
      </c>
      <c r="W51" s="177">
        <f t="shared" ref="W51:X51" si="37">C51/100</f>
        <v>0.79</v>
      </c>
      <c r="X51" s="177">
        <f t="shared" si="37"/>
        <v>1.84</v>
      </c>
      <c r="Y51" s="177">
        <f t="shared" si="14"/>
        <v>1.82</v>
      </c>
      <c r="Z51" s="191">
        <f t="shared" si="15"/>
        <v>2.645552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</row>
    <row r="52" ht="27.0" customHeight="1">
      <c r="A52" s="160">
        <v>22.0</v>
      </c>
      <c r="B52" s="192" t="s">
        <v>115</v>
      </c>
      <c r="C52" s="192">
        <v>99.0</v>
      </c>
      <c r="D52" s="192">
        <v>183.0</v>
      </c>
      <c r="E52" s="192">
        <v>208.0</v>
      </c>
      <c r="F52" s="192">
        <f t="shared" si="5"/>
        <v>0</v>
      </c>
      <c r="G52" s="192">
        <f t="shared" si="6"/>
        <v>111.165912</v>
      </c>
      <c r="H52" s="193">
        <f t="shared" si="7"/>
        <v>111.165912</v>
      </c>
      <c r="I52" s="192">
        <v>1.0</v>
      </c>
      <c r="J52" s="194">
        <f t="shared" si="8"/>
        <v>111.165912</v>
      </c>
      <c r="K52" s="139"/>
      <c r="L52" s="177">
        <f t="shared" si="17"/>
        <v>4.6482</v>
      </c>
      <c r="M52" s="160">
        <f t="shared" si="18"/>
        <v>1</v>
      </c>
      <c r="N52" s="160">
        <f t="shared" si="19"/>
        <v>4.6482</v>
      </c>
      <c r="O52" s="139"/>
      <c r="P52" s="139"/>
      <c r="Q52" s="177">
        <v>114.0</v>
      </c>
      <c r="R52" s="189">
        <v>29.5</v>
      </c>
      <c r="S52" s="177">
        <f t="shared" si="9"/>
        <v>2.08</v>
      </c>
      <c r="T52" s="160">
        <f t="shared" si="10"/>
        <v>1</v>
      </c>
      <c r="U52" s="160">
        <f t="shared" si="11"/>
        <v>2.08</v>
      </c>
      <c r="V52" s="190">
        <f t="shared" si="12"/>
        <v>111.165912</v>
      </c>
      <c r="W52" s="177">
        <f t="shared" ref="W52:X52" si="38">C52/100</f>
        <v>0.99</v>
      </c>
      <c r="X52" s="177">
        <f t="shared" si="38"/>
        <v>1.83</v>
      </c>
      <c r="Y52" s="177">
        <f t="shared" si="14"/>
        <v>2.08</v>
      </c>
      <c r="Z52" s="191">
        <f t="shared" si="15"/>
        <v>3.768336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</row>
    <row r="53" ht="27.0" customHeight="1">
      <c r="A53" s="160">
        <v>23.0</v>
      </c>
      <c r="B53" s="192" t="s">
        <v>115</v>
      </c>
      <c r="C53" s="192">
        <v>77.0</v>
      </c>
      <c r="D53" s="192">
        <v>184.0</v>
      </c>
      <c r="E53" s="192">
        <v>87.0</v>
      </c>
      <c r="F53" s="192">
        <f t="shared" si="5"/>
        <v>0</v>
      </c>
      <c r="G53" s="192">
        <f t="shared" si="6"/>
        <v>36.362172</v>
      </c>
      <c r="H53" s="193">
        <f t="shared" si="7"/>
        <v>36.362172</v>
      </c>
      <c r="I53" s="192">
        <v>1.0</v>
      </c>
      <c r="J53" s="194">
        <f t="shared" si="8"/>
        <v>36.362172</v>
      </c>
      <c r="K53" s="139"/>
      <c r="L53" s="177">
        <f t="shared" si="17"/>
        <v>4.6736</v>
      </c>
      <c r="M53" s="160">
        <f t="shared" si="18"/>
        <v>1</v>
      </c>
      <c r="N53" s="160">
        <f t="shared" si="19"/>
        <v>4.6736</v>
      </c>
      <c r="O53" s="139"/>
      <c r="P53" s="139"/>
      <c r="Q53" s="177">
        <v>43.0</v>
      </c>
      <c r="R53" s="189">
        <v>29.5</v>
      </c>
      <c r="S53" s="177">
        <f t="shared" si="9"/>
        <v>0.87</v>
      </c>
      <c r="T53" s="160">
        <f t="shared" si="10"/>
        <v>1</v>
      </c>
      <c r="U53" s="160">
        <f t="shared" si="11"/>
        <v>0.87</v>
      </c>
      <c r="V53" s="190">
        <f t="shared" si="12"/>
        <v>36.362172</v>
      </c>
      <c r="W53" s="177">
        <f t="shared" ref="W53:X53" si="39">C53/100</f>
        <v>0.77</v>
      </c>
      <c r="X53" s="177">
        <f t="shared" si="39"/>
        <v>1.84</v>
      </c>
      <c r="Y53" s="177">
        <f t="shared" si="14"/>
        <v>0.87</v>
      </c>
      <c r="Z53" s="191">
        <f t="shared" si="15"/>
        <v>1.232616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</row>
    <row r="54" ht="27.0" customHeight="1">
      <c r="A54" s="160">
        <v>24.0</v>
      </c>
      <c r="B54" s="192" t="s">
        <v>115</v>
      </c>
      <c r="C54" s="192">
        <v>104.0</v>
      </c>
      <c r="D54" s="192">
        <v>185.0</v>
      </c>
      <c r="E54" s="192">
        <v>180.0</v>
      </c>
      <c r="F54" s="192">
        <f t="shared" si="5"/>
        <v>0</v>
      </c>
      <c r="G54" s="192">
        <f t="shared" si="6"/>
        <v>102.1644</v>
      </c>
      <c r="H54" s="193">
        <f t="shared" si="7"/>
        <v>102.1644</v>
      </c>
      <c r="I54" s="192">
        <v>1.0</v>
      </c>
      <c r="J54" s="194">
        <f t="shared" si="8"/>
        <v>102.1644</v>
      </c>
      <c r="K54" s="139"/>
      <c r="L54" s="177">
        <f t="shared" si="17"/>
        <v>4.699</v>
      </c>
      <c r="M54" s="160">
        <f t="shared" si="18"/>
        <v>1</v>
      </c>
      <c r="N54" s="160">
        <f t="shared" si="19"/>
        <v>4.699</v>
      </c>
      <c r="O54" s="139"/>
      <c r="P54" s="139"/>
      <c r="Q54" s="177">
        <v>107.0</v>
      </c>
      <c r="R54" s="189">
        <v>29.5</v>
      </c>
      <c r="S54" s="177">
        <f t="shared" si="9"/>
        <v>1.8</v>
      </c>
      <c r="T54" s="160">
        <f t="shared" si="10"/>
        <v>1</v>
      </c>
      <c r="U54" s="160">
        <f t="shared" si="11"/>
        <v>1.8</v>
      </c>
      <c r="V54" s="190">
        <f t="shared" si="12"/>
        <v>102.1644</v>
      </c>
      <c r="W54" s="177">
        <f t="shared" ref="W54:X54" si="40">C54/100</f>
        <v>1.04</v>
      </c>
      <c r="X54" s="177">
        <f t="shared" si="40"/>
        <v>1.85</v>
      </c>
      <c r="Y54" s="177">
        <f t="shared" si="14"/>
        <v>1.8</v>
      </c>
      <c r="Z54" s="191">
        <f t="shared" si="15"/>
        <v>3.4632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</row>
    <row r="55" ht="27.0" customHeight="1">
      <c r="A55" s="160">
        <v>25.0</v>
      </c>
      <c r="B55" s="192" t="s">
        <v>115</v>
      </c>
      <c r="C55" s="192">
        <v>105.0</v>
      </c>
      <c r="D55" s="192">
        <v>184.0</v>
      </c>
      <c r="E55" s="192">
        <v>2872.0</v>
      </c>
      <c r="F55" s="192">
        <f t="shared" si="5"/>
        <v>0</v>
      </c>
      <c r="G55" s="192">
        <f t="shared" si="6"/>
        <v>1636.86768</v>
      </c>
      <c r="H55" s="193">
        <f t="shared" si="7"/>
        <v>1636.86768</v>
      </c>
      <c r="I55" s="192">
        <v>1.0</v>
      </c>
      <c r="J55" s="194">
        <f t="shared" si="8"/>
        <v>1636.86768</v>
      </c>
      <c r="K55" s="139"/>
      <c r="L55" s="177">
        <f t="shared" si="17"/>
        <v>4.6736</v>
      </c>
      <c r="M55" s="160">
        <f t="shared" si="18"/>
        <v>1</v>
      </c>
      <c r="N55" s="160">
        <f t="shared" si="19"/>
        <v>4.6736</v>
      </c>
      <c r="O55" s="139"/>
      <c r="P55" s="139"/>
      <c r="Q55" s="177">
        <v>1630.0</v>
      </c>
      <c r="R55" s="189">
        <v>29.5</v>
      </c>
      <c r="S55" s="177">
        <f t="shared" si="9"/>
        <v>28.72</v>
      </c>
      <c r="T55" s="160">
        <f t="shared" si="10"/>
        <v>1</v>
      </c>
      <c r="U55" s="160">
        <f t="shared" si="11"/>
        <v>28.72</v>
      </c>
      <c r="V55" s="190">
        <f t="shared" si="12"/>
        <v>1636.86768</v>
      </c>
      <c r="W55" s="177">
        <f t="shared" ref="W55:X55" si="41">C55/100</f>
        <v>1.05</v>
      </c>
      <c r="X55" s="177">
        <f t="shared" si="41"/>
        <v>1.84</v>
      </c>
      <c r="Y55" s="177">
        <f t="shared" si="14"/>
        <v>28.72</v>
      </c>
      <c r="Z55" s="191">
        <f t="shared" si="15"/>
        <v>55.48704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60">
        <v>26.0</v>
      </c>
      <c r="B56" s="192" t="s">
        <v>115</v>
      </c>
      <c r="C56" s="192">
        <v>105.0</v>
      </c>
      <c r="D56" s="192">
        <v>184.0</v>
      </c>
      <c r="E56" s="192">
        <v>2872.0</v>
      </c>
      <c r="F56" s="192">
        <f t="shared" si="5"/>
        <v>0</v>
      </c>
      <c r="G56" s="192">
        <f t="shared" si="6"/>
        <v>1636.86768</v>
      </c>
      <c r="H56" s="193">
        <f t="shared" si="7"/>
        <v>1636.86768</v>
      </c>
      <c r="I56" s="192">
        <v>1.0</v>
      </c>
      <c r="J56" s="194">
        <f t="shared" si="8"/>
        <v>1636.86768</v>
      </c>
      <c r="K56" s="139"/>
      <c r="L56" s="195"/>
      <c r="M56" s="196">
        <f t="shared" si="18"/>
        <v>1</v>
      </c>
      <c r="N56" s="196"/>
      <c r="O56" s="139"/>
      <c r="P56" s="139"/>
      <c r="Q56" s="177">
        <v>1600.0</v>
      </c>
      <c r="R56" s="189">
        <v>29.5</v>
      </c>
      <c r="S56" s="177">
        <f t="shared" si="9"/>
        <v>28.72</v>
      </c>
      <c r="T56" s="160">
        <f t="shared" si="10"/>
        <v>1</v>
      </c>
      <c r="U56" s="160">
        <f t="shared" si="11"/>
        <v>28.72</v>
      </c>
      <c r="V56" s="190">
        <f t="shared" si="12"/>
        <v>1636.86768</v>
      </c>
      <c r="W56" s="177">
        <f t="shared" ref="W56:X56" si="42">C56/100</f>
        <v>1.05</v>
      </c>
      <c r="X56" s="177">
        <f t="shared" si="42"/>
        <v>1.84</v>
      </c>
      <c r="Y56" s="177">
        <f t="shared" si="14"/>
        <v>28.72</v>
      </c>
      <c r="Z56" s="191">
        <f t="shared" si="15"/>
        <v>55.48704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60">
        <v>27.0</v>
      </c>
      <c r="B57" s="192" t="s">
        <v>115</v>
      </c>
      <c r="C57" s="192">
        <v>102.0</v>
      </c>
      <c r="D57" s="192">
        <v>184.0</v>
      </c>
      <c r="E57" s="192">
        <v>2868.0</v>
      </c>
      <c r="F57" s="192">
        <f t="shared" si="5"/>
        <v>0</v>
      </c>
      <c r="G57" s="192">
        <f t="shared" si="6"/>
        <v>1587.885408</v>
      </c>
      <c r="H57" s="193">
        <f t="shared" si="7"/>
        <v>1587.885408</v>
      </c>
      <c r="I57" s="192">
        <v>1.0</v>
      </c>
      <c r="J57" s="194">
        <f t="shared" si="8"/>
        <v>1587.885408</v>
      </c>
      <c r="K57" s="139"/>
      <c r="L57" s="195"/>
      <c r="M57" s="196">
        <f t="shared" si="18"/>
        <v>1</v>
      </c>
      <c r="N57" s="196"/>
      <c r="O57" s="139"/>
      <c r="P57" s="139"/>
      <c r="Q57" s="177">
        <v>1595.0</v>
      </c>
      <c r="R57" s="189">
        <v>29.5</v>
      </c>
      <c r="S57" s="177">
        <f t="shared" si="9"/>
        <v>28.68</v>
      </c>
      <c r="T57" s="160">
        <f t="shared" si="10"/>
        <v>1</v>
      </c>
      <c r="U57" s="160">
        <f t="shared" si="11"/>
        <v>28.68</v>
      </c>
      <c r="V57" s="190">
        <f t="shared" si="12"/>
        <v>1587.885408</v>
      </c>
      <c r="W57" s="177">
        <f t="shared" ref="W57:X57" si="43">C57/100</f>
        <v>1.02</v>
      </c>
      <c r="X57" s="177">
        <f t="shared" si="43"/>
        <v>1.84</v>
      </c>
      <c r="Y57" s="177">
        <f t="shared" si="14"/>
        <v>28.68</v>
      </c>
      <c r="Z57" s="191">
        <f t="shared" si="15"/>
        <v>53.826624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60">
        <v>28.0</v>
      </c>
      <c r="B58" s="192" t="s">
        <v>115</v>
      </c>
      <c r="C58" s="192">
        <v>104.0</v>
      </c>
      <c r="D58" s="192">
        <v>184.0</v>
      </c>
      <c r="E58" s="192">
        <v>2868.0</v>
      </c>
      <c r="F58" s="192">
        <f t="shared" si="5"/>
        <v>0</v>
      </c>
      <c r="G58" s="192">
        <f t="shared" si="6"/>
        <v>1619.020416</v>
      </c>
      <c r="H58" s="193">
        <f t="shared" si="7"/>
        <v>1619.020416</v>
      </c>
      <c r="I58" s="192">
        <v>1.0</v>
      </c>
      <c r="J58" s="194">
        <f t="shared" si="8"/>
        <v>1619.020416</v>
      </c>
      <c r="K58" s="139"/>
      <c r="L58" s="195"/>
      <c r="M58" s="196">
        <f t="shared" si="18"/>
        <v>1</v>
      </c>
      <c r="N58" s="196"/>
      <c r="O58" s="139"/>
      <c r="P58" s="139"/>
      <c r="Q58" s="177">
        <v>1615.0</v>
      </c>
      <c r="R58" s="189">
        <v>29.5</v>
      </c>
      <c r="S58" s="177">
        <f t="shared" si="9"/>
        <v>28.68</v>
      </c>
      <c r="T58" s="160">
        <f t="shared" si="10"/>
        <v>1</v>
      </c>
      <c r="U58" s="160">
        <f t="shared" si="11"/>
        <v>28.68</v>
      </c>
      <c r="V58" s="190">
        <f t="shared" si="12"/>
        <v>1619.020416</v>
      </c>
      <c r="W58" s="177">
        <f t="shared" ref="W58:X58" si="44">C58/100</f>
        <v>1.04</v>
      </c>
      <c r="X58" s="177">
        <f t="shared" si="44"/>
        <v>1.84</v>
      </c>
      <c r="Y58" s="177">
        <f t="shared" si="14"/>
        <v>28.68</v>
      </c>
      <c r="Z58" s="191">
        <f t="shared" si="15"/>
        <v>54.882048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60">
        <v>29.0</v>
      </c>
      <c r="B59" s="192" t="s">
        <v>115</v>
      </c>
      <c r="C59" s="192">
        <v>102.0</v>
      </c>
      <c r="D59" s="192">
        <v>184.0</v>
      </c>
      <c r="E59" s="192">
        <v>2865.0</v>
      </c>
      <c r="F59" s="192">
        <f t="shared" si="5"/>
        <v>0</v>
      </c>
      <c r="G59" s="192">
        <f t="shared" si="6"/>
        <v>1586.22444</v>
      </c>
      <c r="H59" s="193">
        <f t="shared" si="7"/>
        <v>1586.22444</v>
      </c>
      <c r="I59" s="192">
        <v>1.0</v>
      </c>
      <c r="J59" s="194">
        <f t="shared" si="8"/>
        <v>1586.22444</v>
      </c>
      <c r="K59" s="139"/>
      <c r="L59" s="195"/>
      <c r="M59" s="196">
        <f t="shared" si="18"/>
        <v>1</v>
      </c>
      <c r="N59" s="196"/>
      <c r="O59" s="139"/>
      <c r="P59" s="139"/>
      <c r="Q59" s="177">
        <v>1585.0</v>
      </c>
      <c r="R59" s="189">
        <v>29.5</v>
      </c>
      <c r="S59" s="177">
        <f t="shared" si="9"/>
        <v>28.65</v>
      </c>
      <c r="T59" s="160">
        <f t="shared" si="10"/>
        <v>1</v>
      </c>
      <c r="U59" s="160">
        <f t="shared" si="11"/>
        <v>28.65</v>
      </c>
      <c r="V59" s="190">
        <f t="shared" si="12"/>
        <v>1586.22444</v>
      </c>
      <c r="W59" s="177">
        <f t="shared" ref="W59:X59" si="45">C59/100</f>
        <v>1.02</v>
      </c>
      <c r="X59" s="177">
        <f t="shared" si="45"/>
        <v>1.84</v>
      </c>
      <c r="Y59" s="177">
        <f t="shared" si="14"/>
        <v>28.65</v>
      </c>
      <c r="Z59" s="191">
        <f t="shared" si="15"/>
        <v>53.77032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60">
        <v>30.0</v>
      </c>
      <c r="B60" s="192" t="s">
        <v>115</v>
      </c>
      <c r="C60" s="192">
        <v>102.0</v>
      </c>
      <c r="D60" s="192">
        <v>184.0</v>
      </c>
      <c r="E60" s="192">
        <v>2868.0</v>
      </c>
      <c r="F60" s="192">
        <f t="shared" si="5"/>
        <v>0</v>
      </c>
      <c r="G60" s="192">
        <f t="shared" si="6"/>
        <v>1587.885408</v>
      </c>
      <c r="H60" s="193">
        <f t="shared" si="7"/>
        <v>1587.885408</v>
      </c>
      <c r="I60" s="192">
        <v>1.0</v>
      </c>
      <c r="J60" s="194">
        <f t="shared" si="8"/>
        <v>1587.885408</v>
      </c>
      <c r="K60" s="139"/>
      <c r="L60" s="195"/>
      <c r="M60" s="196">
        <f t="shared" si="18"/>
        <v>1</v>
      </c>
      <c r="N60" s="196"/>
      <c r="O60" s="139"/>
      <c r="P60" s="139"/>
      <c r="Q60" s="177">
        <v>1590.0</v>
      </c>
      <c r="R60" s="189">
        <v>29.5</v>
      </c>
      <c r="S60" s="177">
        <f t="shared" si="9"/>
        <v>28.68</v>
      </c>
      <c r="T60" s="160">
        <f t="shared" si="10"/>
        <v>1</v>
      </c>
      <c r="U60" s="160">
        <f t="shared" si="11"/>
        <v>28.68</v>
      </c>
      <c r="V60" s="190">
        <f t="shared" si="12"/>
        <v>1587.885408</v>
      </c>
      <c r="W60" s="177">
        <f t="shared" ref="W60:X60" si="46">C60/100</f>
        <v>1.02</v>
      </c>
      <c r="X60" s="177">
        <f t="shared" si="46"/>
        <v>1.84</v>
      </c>
      <c r="Y60" s="177">
        <f t="shared" si="14"/>
        <v>28.68</v>
      </c>
      <c r="Z60" s="191">
        <f t="shared" si="15"/>
        <v>53.826624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60">
        <v>31.0</v>
      </c>
      <c r="B61" s="192" t="s">
        <v>115</v>
      </c>
      <c r="C61" s="192">
        <v>100.0</v>
      </c>
      <c r="D61" s="192">
        <v>184.0</v>
      </c>
      <c r="E61" s="192">
        <v>2835.0</v>
      </c>
      <c r="F61" s="192">
        <f t="shared" si="5"/>
        <v>0</v>
      </c>
      <c r="G61" s="192">
        <f t="shared" si="6"/>
        <v>1538.838</v>
      </c>
      <c r="H61" s="193">
        <f t="shared" si="7"/>
        <v>1538.838</v>
      </c>
      <c r="I61" s="192">
        <v>1.0</v>
      </c>
      <c r="J61" s="194">
        <f t="shared" si="8"/>
        <v>1538.838</v>
      </c>
      <c r="K61" s="139"/>
      <c r="L61" s="195"/>
      <c r="M61" s="196">
        <f t="shared" si="18"/>
        <v>1</v>
      </c>
      <c r="N61" s="196"/>
      <c r="O61" s="139"/>
      <c r="P61" s="139"/>
      <c r="Q61" s="177">
        <v>1570.0</v>
      </c>
      <c r="R61" s="189">
        <v>29.5</v>
      </c>
      <c r="S61" s="177">
        <f t="shared" si="9"/>
        <v>28.35</v>
      </c>
      <c r="T61" s="160">
        <f t="shared" si="10"/>
        <v>1</v>
      </c>
      <c r="U61" s="160">
        <f t="shared" si="11"/>
        <v>28.35</v>
      </c>
      <c r="V61" s="190">
        <f t="shared" si="12"/>
        <v>1538.838</v>
      </c>
      <c r="W61" s="177">
        <f t="shared" ref="W61:X61" si="47">C61/100</f>
        <v>1</v>
      </c>
      <c r="X61" s="177">
        <f t="shared" si="47"/>
        <v>1.84</v>
      </c>
      <c r="Y61" s="177">
        <f t="shared" si="14"/>
        <v>28.35</v>
      </c>
      <c r="Z61" s="191">
        <f t="shared" si="15"/>
        <v>52.164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60">
        <v>32.0</v>
      </c>
      <c r="B62" s="182" t="s">
        <v>82</v>
      </c>
      <c r="C62" s="183">
        <v>73.0</v>
      </c>
      <c r="D62" s="183">
        <v>220.0</v>
      </c>
      <c r="E62" s="183">
        <v>179.0</v>
      </c>
      <c r="F62" s="183">
        <f t="shared" si="5"/>
        <v>0</v>
      </c>
      <c r="G62" s="183">
        <f t="shared" si="6"/>
        <v>60.36954</v>
      </c>
      <c r="H62" s="184">
        <f t="shared" si="7"/>
        <v>60.36954</v>
      </c>
      <c r="I62" s="183">
        <v>1.0</v>
      </c>
      <c r="J62" s="185">
        <f t="shared" si="8"/>
        <v>60.36954</v>
      </c>
      <c r="K62" s="186"/>
      <c r="L62" s="265"/>
      <c r="M62" s="266">
        <f t="shared" si="18"/>
        <v>1</v>
      </c>
      <c r="N62" s="266"/>
      <c r="O62" s="186"/>
      <c r="P62" s="186"/>
      <c r="Q62" s="187">
        <v>78.5</v>
      </c>
      <c r="R62" s="189">
        <v>21.0</v>
      </c>
      <c r="S62" s="177">
        <f t="shared" si="9"/>
        <v>1.79</v>
      </c>
      <c r="T62" s="160">
        <f t="shared" si="10"/>
        <v>1</v>
      </c>
      <c r="U62" s="160">
        <f t="shared" si="11"/>
        <v>1.79</v>
      </c>
      <c r="V62" s="190">
        <f t="shared" si="12"/>
        <v>60.36954</v>
      </c>
      <c r="W62" s="177">
        <f t="shared" ref="W62:X62" si="48">C62/100</f>
        <v>0.73</v>
      </c>
      <c r="X62" s="177">
        <f t="shared" si="48"/>
        <v>2.2</v>
      </c>
      <c r="Y62" s="177">
        <f t="shared" si="14"/>
        <v>1.79</v>
      </c>
      <c r="Z62" s="191">
        <f t="shared" si="15"/>
        <v>2.87474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60">
        <v>33.0</v>
      </c>
      <c r="B63" s="192" t="s">
        <v>82</v>
      </c>
      <c r="C63" s="192">
        <v>84.0</v>
      </c>
      <c r="D63" s="192">
        <v>220.0</v>
      </c>
      <c r="E63" s="192">
        <v>126.0</v>
      </c>
      <c r="F63" s="192">
        <f t="shared" si="5"/>
        <v>0</v>
      </c>
      <c r="G63" s="192">
        <f t="shared" si="6"/>
        <v>48.89808</v>
      </c>
      <c r="H63" s="193">
        <f t="shared" si="7"/>
        <v>48.89808</v>
      </c>
      <c r="I63" s="192">
        <v>1.0</v>
      </c>
      <c r="J63" s="194">
        <f t="shared" si="8"/>
        <v>48.89808</v>
      </c>
      <c r="K63" s="139"/>
      <c r="L63" s="195"/>
      <c r="M63" s="196">
        <f t="shared" si="18"/>
        <v>1</v>
      </c>
      <c r="N63" s="196"/>
      <c r="O63" s="139"/>
      <c r="P63" s="139"/>
      <c r="Q63" s="177">
        <v>61.0</v>
      </c>
      <c r="R63" s="189">
        <v>21.0</v>
      </c>
      <c r="S63" s="177">
        <f t="shared" si="9"/>
        <v>1.26</v>
      </c>
      <c r="T63" s="160">
        <f t="shared" si="10"/>
        <v>1</v>
      </c>
      <c r="U63" s="160">
        <f t="shared" si="11"/>
        <v>1.26</v>
      </c>
      <c r="V63" s="190">
        <f t="shared" si="12"/>
        <v>48.89808</v>
      </c>
      <c r="W63" s="177">
        <f t="shared" ref="W63:X63" si="49">C63/100</f>
        <v>0.84</v>
      </c>
      <c r="X63" s="177">
        <f t="shared" si="49"/>
        <v>2.2</v>
      </c>
      <c r="Y63" s="177">
        <f t="shared" si="14"/>
        <v>1.26</v>
      </c>
      <c r="Z63" s="191">
        <f t="shared" si="15"/>
        <v>2.32848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60">
        <v>34.0</v>
      </c>
      <c r="B64" s="192" t="s">
        <v>82</v>
      </c>
      <c r="C64" s="192">
        <v>100.0</v>
      </c>
      <c r="D64" s="192">
        <v>219.0</v>
      </c>
      <c r="E64" s="192">
        <v>198.0</v>
      </c>
      <c r="F64" s="192">
        <f t="shared" si="5"/>
        <v>0</v>
      </c>
      <c r="G64" s="192">
        <f t="shared" si="6"/>
        <v>91.0602</v>
      </c>
      <c r="H64" s="193">
        <f t="shared" si="7"/>
        <v>91.0602</v>
      </c>
      <c r="I64" s="192">
        <v>1.0</v>
      </c>
      <c r="J64" s="194">
        <f t="shared" si="8"/>
        <v>91.0602</v>
      </c>
      <c r="K64" s="139"/>
      <c r="L64" s="195"/>
      <c r="M64" s="196">
        <f t="shared" si="18"/>
        <v>1</v>
      </c>
      <c r="N64" s="196"/>
      <c r="O64" s="139"/>
      <c r="P64" s="139"/>
      <c r="Q64" s="177">
        <v>96.0</v>
      </c>
      <c r="R64" s="189">
        <v>21.0</v>
      </c>
      <c r="S64" s="177">
        <f t="shared" si="9"/>
        <v>1.98</v>
      </c>
      <c r="T64" s="160">
        <f t="shared" si="10"/>
        <v>1</v>
      </c>
      <c r="U64" s="160">
        <f t="shared" si="11"/>
        <v>1.98</v>
      </c>
      <c r="V64" s="190">
        <f t="shared" si="12"/>
        <v>91.0602</v>
      </c>
      <c r="W64" s="177">
        <f t="shared" ref="W64:X64" si="50">C64/100</f>
        <v>1</v>
      </c>
      <c r="X64" s="177">
        <f t="shared" si="50"/>
        <v>2.19</v>
      </c>
      <c r="Y64" s="177">
        <f t="shared" si="14"/>
        <v>1.98</v>
      </c>
      <c r="Z64" s="191">
        <f t="shared" si="15"/>
        <v>4.3362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60">
        <v>35.0</v>
      </c>
      <c r="B65" s="192" t="s">
        <v>82</v>
      </c>
      <c r="C65" s="192">
        <v>100.0</v>
      </c>
      <c r="D65" s="192">
        <v>219.0</v>
      </c>
      <c r="E65" s="192">
        <v>201.0</v>
      </c>
      <c r="F65" s="192">
        <f t="shared" si="5"/>
        <v>0</v>
      </c>
      <c r="G65" s="192">
        <f t="shared" si="6"/>
        <v>92.4399</v>
      </c>
      <c r="H65" s="193">
        <f t="shared" si="7"/>
        <v>92.4399</v>
      </c>
      <c r="I65" s="192">
        <v>1.0</v>
      </c>
      <c r="J65" s="194">
        <f t="shared" si="8"/>
        <v>92.4399</v>
      </c>
      <c r="K65" s="139"/>
      <c r="L65" s="195"/>
      <c r="M65" s="196">
        <f t="shared" si="18"/>
        <v>1</v>
      </c>
      <c r="N65" s="196"/>
      <c r="O65" s="139"/>
      <c r="P65" s="139"/>
      <c r="Q65" s="177">
        <v>99.0</v>
      </c>
      <c r="R65" s="189">
        <v>21.0</v>
      </c>
      <c r="S65" s="177">
        <f t="shared" si="9"/>
        <v>2.01</v>
      </c>
      <c r="T65" s="160">
        <f t="shared" si="10"/>
        <v>1</v>
      </c>
      <c r="U65" s="160">
        <f t="shared" si="11"/>
        <v>2.01</v>
      </c>
      <c r="V65" s="190">
        <f t="shared" si="12"/>
        <v>92.4399</v>
      </c>
      <c r="W65" s="177">
        <f t="shared" ref="W65:X65" si="51">C65/100</f>
        <v>1</v>
      </c>
      <c r="X65" s="177">
        <f t="shared" si="51"/>
        <v>2.19</v>
      </c>
      <c r="Y65" s="177">
        <f t="shared" si="14"/>
        <v>2.01</v>
      </c>
      <c r="Z65" s="191">
        <f t="shared" si="15"/>
        <v>4.4019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60">
        <v>36.0</v>
      </c>
      <c r="B66" s="192" t="s">
        <v>82</v>
      </c>
      <c r="C66" s="192">
        <v>103.0</v>
      </c>
      <c r="D66" s="192">
        <v>220.0</v>
      </c>
      <c r="E66" s="192">
        <v>73.0</v>
      </c>
      <c r="F66" s="192">
        <f t="shared" si="5"/>
        <v>0</v>
      </c>
      <c r="G66" s="192">
        <f t="shared" si="6"/>
        <v>34.73778</v>
      </c>
      <c r="H66" s="193">
        <f t="shared" si="7"/>
        <v>34.73778</v>
      </c>
      <c r="I66" s="192">
        <v>1.0</v>
      </c>
      <c r="J66" s="194">
        <f t="shared" si="8"/>
        <v>34.73778</v>
      </c>
      <c r="K66" s="139"/>
      <c r="L66" s="195"/>
      <c r="M66" s="196">
        <f t="shared" si="18"/>
        <v>1</v>
      </c>
      <c r="N66" s="196"/>
      <c r="O66" s="139"/>
      <c r="P66" s="139"/>
      <c r="Q66" s="177">
        <v>95.0</v>
      </c>
      <c r="R66" s="189">
        <v>21.0</v>
      </c>
      <c r="S66" s="177">
        <f t="shared" si="9"/>
        <v>0.73</v>
      </c>
      <c r="T66" s="160">
        <f t="shared" si="10"/>
        <v>1</v>
      </c>
      <c r="U66" s="160">
        <f t="shared" si="11"/>
        <v>0.73</v>
      </c>
      <c r="V66" s="190">
        <f t="shared" si="12"/>
        <v>34.73778</v>
      </c>
      <c r="W66" s="177">
        <f t="shared" ref="W66:X66" si="52">C66/100</f>
        <v>1.03</v>
      </c>
      <c r="X66" s="177">
        <f t="shared" si="52"/>
        <v>2.2</v>
      </c>
      <c r="Y66" s="177">
        <f t="shared" si="14"/>
        <v>0.73</v>
      </c>
      <c r="Z66" s="191">
        <f t="shared" si="15"/>
        <v>1.65418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60">
        <v>37.0</v>
      </c>
      <c r="B67" s="192" t="s">
        <v>82</v>
      </c>
      <c r="C67" s="192">
        <v>104.0</v>
      </c>
      <c r="D67" s="192">
        <v>220.0</v>
      </c>
      <c r="E67" s="192">
        <v>66.0</v>
      </c>
      <c r="F67" s="192">
        <f t="shared" si="5"/>
        <v>0</v>
      </c>
      <c r="G67" s="192">
        <f t="shared" si="6"/>
        <v>31.71168</v>
      </c>
      <c r="H67" s="193">
        <f t="shared" si="7"/>
        <v>31.71168</v>
      </c>
      <c r="I67" s="192">
        <v>1.0</v>
      </c>
      <c r="J67" s="194">
        <f t="shared" si="8"/>
        <v>31.71168</v>
      </c>
      <c r="K67" s="139"/>
      <c r="L67" s="195"/>
      <c r="M67" s="196">
        <f t="shared" si="18"/>
        <v>1</v>
      </c>
      <c r="N67" s="196"/>
      <c r="O67" s="139"/>
      <c r="P67" s="139"/>
      <c r="Q67" s="177">
        <v>95.0</v>
      </c>
      <c r="R67" s="189">
        <v>21.0</v>
      </c>
      <c r="S67" s="177">
        <f t="shared" si="9"/>
        <v>0.66</v>
      </c>
      <c r="T67" s="160">
        <f t="shared" si="10"/>
        <v>1</v>
      </c>
      <c r="U67" s="160">
        <f t="shared" si="11"/>
        <v>0.66</v>
      </c>
      <c r="V67" s="190">
        <f t="shared" si="12"/>
        <v>31.71168</v>
      </c>
      <c r="W67" s="177">
        <f t="shared" ref="W67:X67" si="53">C67/100</f>
        <v>1.04</v>
      </c>
      <c r="X67" s="177">
        <f t="shared" si="53"/>
        <v>2.2</v>
      </c>
      <c r="Y67" s="177">
        <f t="shared" si="14"/>
        <v>0.66</v>
      </c>
      <c r="Z67" s="191">
        <f t="shared" si="15"/>
        <v>1.51008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60">
        <v>38.0</v>
      </c>
      <c r="B68" s="192" t="s">
        <v>82</v>
      </c>
      <c r="C68" s="192">
        <v>103.0</v>
      </c>
      <c r="D68" s="192">
        <v>220.0</v>
      </c>
      <c r="E68" s="192">
        <v>2868.0</v>
      </c>
      <c r="F68" s="192">
        <f t="shared" si="5"/>
        <v>0</v>
      </c>
      <c r="G68" s="192">
        <f t="shared" si="6"/>
        <v>1364.76648</v>
      </c>
      <c r="H68" s="193">
        <f t="shared" si="7"/>
        <v>1364.76648</v>
      </c>
      <c r="I68" s="192">
        <v>1.0</v>
      </c>
      <c r="J68" s="194">
        <f t="shared" si="8"/>
        <v>1364.76648</v>
      </c>
      <c r="K68" s="139"/>
      <c r="L68" s="195"/>
      <c r="M68" s="196">
        <f t="shared" si="18"/>
        <v>1</v>
      </c>
      <c r="N68" s="196"/>
      <c r="O68" s="139"/>
      <c r="P68" s="139"/>
      <c r="Q68" s="177">
        <v>1375.0</v>
      </c>
      <c r="R68" s="189">
        <v>21.0</v>
      </c>
      <c r="S68" s="177">
        <f t="shared" si="9"/>
        <v>28.68</v>
      </c>
      <c r="T68" s="160">
        <f t="shared" si="10"/>
        <v>1</v>
      </c>
      <c r="U68" s="160">
        <f t="shared" si="11"/>
        <v>28.68</v>
      </c>
      <c r="V68" s="190">
        <f t="shared" si="12"/>
        <v>1364.76648</v>
      </c>
      <c r="W68" s="177">
        <f t="shared" ref="W68:X68" si="54">C68/100</f>
        <v>1.03</v>
      </c>
      <c r="X68" s="177">
        <f t="shared" si="54"/>
        <v>2.2</v>
      </c>
      <c r="Y68" s="177">
        <f t="shared" si="14"/>
        <v>28.68</v>
      </c>
      <c r="Z68" s="191">
        <f t="shared" si="15"/>
        <v>64.98888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60">
        <v>39.0</v>
      </c>
      <c r="B69" s="192" t="s">
        <v>82</v>
      </c>
      <c r="C69" s="192">
        <v>103.0</v>
      </c>
      <c r="D69" s="192">
        <v>220.0</v>
      </c>
      <c r="E69" s="192">
        <v>2864.0</v>
      </c>
      <c r="F69" s="192">
        <f t="shared" si="5"/>
        <v>0</v>
      </c>
      <c r="G69" s="192">
        <f t="shared" si="6"/>
        <v>1362.86304</v>
      </c>
      <c r="H69" s="193">
        <f t="shared" si="7"/>
        <v>1362.86304</v>
      </c>
      <c r="I69" s="192">
        <v>1.0</v>
      </c>
      <c r="J69" s="194">
        <f t="shared" si="8"/>
        <v>1362.86304</v>
      </c>
      <c r="K69" s="139"/>
      <c r="L69" s="195"/>
      <c r="M69" s="196"/>
      <c r="N69" s="196"/>
      <c r="O69" s="139"/>
      <c r="P69" s="139"/>
      <c r="Q69" s="177">
        <v>1380.0</v>
      </c>
      <c r="R69" s="189">
        <v>21.0</v>
      </c>
      <c r="S69" s="177">
        <f t="shared" si="9"/>
        <v>28.64</v>
      </c>
      <c r="T69" s="160">
        <f t="shared" si="10"/>
        <v>1</v>
      </c>
      <c r="U69" s="160">
        <f t="shared" si="11"/>
        <v>28.64</v>
      </c>
      <c r="V69" s="190">
        <f t="shared" si="12"/>
        <v>1362.86304</v>
      </c>
      <c r="W69" s="177">
        <f t="shared" ref="W69:X69" si="55">C69/100</f>
        <v>1.03</v>
      </c>
      <c r="X69" s="177">
        <f t="shared" si="55"/>
        <v>2.2</v>
      </c>
      <c r="Y69" s="177">
        <f t="shared" si="14"/>
        <v>28.64</v>
      </c>
      <c r="Z69" s="191">
        <f t="shared" si="15"/>
        <v>64.89824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hidden="1" customHeight="1">
      <c r="A70" s="160">
        <v>51.0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hidden="1" customHeight="1">
      <c r="A71" s="160">
        <v>52.0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hidden="1" customHeight="1">
      <c r="A72" s="160">
        <v>53.0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hidden="1" customHeight="1">
      <c r="A73" s="160">
        <v>54.0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hidden="1" customHeight="1">
      <c r="A74" s="160">
        <v>55.0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hidden="1" customHeight="1">
      <c r="A75" s="160">
        <v>56.0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hidden="1" customHeight="1">
      <c r="A76" s="160">
        <v>57.0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hidden="1" customHeight="1">
      <c r="A77" s="160">
        <v>58.0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3">C77/100</f>
        <v>0</v>
      </c>
      <c r="X77" s="177">
        <f t="shared" si="63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hidden="1" customHeight="1">
      <c r="A78" s="160">
        <v>59.0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4">C78/100</f>
        <v>0</v>
      </c>
      <c r="X78" s="177">
        <f t="shared" si="64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hidden="1" customHeight="1">
      <c r="A79" s="160">
        <v>60.0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77">
        <f t="shared" ref="L79:L80" si="66">D79*25.4/1000</f>
        <v>0</v>
      </c>
      <c r="M79" s="160" t="str">
        <f t="shared" ref="M79:M94" si="67">+I79</f>
        <v/>
      </c>
      <c r="N79" s="160">
        <f t="shared" ref="N79:N80" si="68">M79*L79</f>
        <v>0</v>
      </c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5">C79/100</f>
        <v>0</v>
      </c>
      <c r="X79" s="177">
        <f t="shared" si="65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hidden="1" customHeight="1">
      <c r="A80" s="160">
        <v>61.0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>
        <f t="shared" si="66"/>
        <v>0</v>
      </c>
      <c r="M80" s="196" t="str">
        <f t="shared" si="67"/>
        <v/>
      </c>
      <c r="N80" s="196">
        <f t="shared" si="68"/>
        <v>0</v>
      </c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hidden="1" customHeight="1">
      <c r="A81" s="160">
        <v>62.0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7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hidden="1" customHeight="1">
      <c r="A82" s="160">
        <v>63.0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7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hidden="1" customHeight="1">
      <c r="A83" s="160">
        <v>64.0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7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hidden="1" customHeight="1">
      <c r="A84" s="160">
        <v>65.0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7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3">C84/100</f>
        <v>0</v>
      </c>
      <c r="X84" s="177">
        <f t="shared" si="73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hidden="1" customHeight="1">
      <c r="A85" s="160">
        <v>66.0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7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4">C85/100</f>
        <v>0</v>
      </c>
      <c r="X85" s="177">
        <f t="shared" si="74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hidden="1" customHeight="1">
      <c r="A86" s="160">
        <v>67.0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7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5">C86/100</f>
        <v>0</v>
      </c>
      <c r="X86" s="177">
        <f t="shared" si="75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hidden="1" customHeight="1">
      <c r="A87" s="160">
        <v>68.0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7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6">C87/100</f>
        <v>0</v>
      </c>
      <c r="X87" s="177">
        <f t="shared" si="76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hidden="1" customHeight="1">
      <c r="A88" s="160">
        <v>69.0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7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7">C88/100</f>
        <v>0</v>
      </c>
      <c r="X88" s="177">
        <f t="shared" si="77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hidden="1" customHeight="1">
      <c r="A89" s="160">
        <v>70.0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7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8">C89/100</f>
        <v>0</v>
      </c>
      <c r="X89" s="177">
        <f t="shared" si="78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hidden="1" customHeight="1">
      <c r="A90" s="160">
        <v>71.0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7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9">C90/100</f>
        <v>0</v>
      </c>
      <c r="X90" s="177">
        <f t="shared" si="79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hidden="1" customHeight="1">
      <c r="A91" s="160">
        <v>72.0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7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hidden="1" customHeight="1">
      <c r="A92" s="160">
        <v>73.0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7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hidden="1" customHeight="1">
      <c r="A93" s="160">
        <v>74.0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7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hidden="1" customHeight="1">
      <c r="A94" s="160">
        <v>75.0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67"/>
        <v/>
      </c>
      <c r="N94" s="196"/>
      <c r="O94" s="139"/>
      <c r="P94" s="139"/>
      <c r="Q94" s="177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199">
        <f t="shared" si="12"/>
        <v>0</v>
      </c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hidden="1" customHeight="1">
      <c r="A95" s="160">
        <v>76.0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hidden="1" customHeight="1">
      <c r="A96" s="160">
        <v>77.0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hidden="1" customHeight="1">
      <c r="A97" s="160">
        <v>78.0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hidden="1" customHeight="1">
      <c r="A98" s="160">
        <v>79.0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</row>
    <row r="99" ht="27.0" hidden="1" customHeight="1">
      <c r="A99" s="160">
        <v>80.0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7.0" hidden="1" customHeight="1">
      <c r="A100" s="160">
        <v>81.0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7.0" hidden="1" customHeight="1">
      <c r="A101" s="160">
        <v>82.0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7.0" hidden="1" customHeight="1">
      <c r="A102" s="160">
        <v>83.0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7.0" hidden="1" customHeight="1">
      <c r="A103" s="160">
        <v>84.0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27.0" hidden="1" customHeight="1">
      <c r="A104" s="160">
        <v>85.0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hidden="1" customHeight="1">
      <c r="A105" s="160">
        <v>86.0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hidden="1" customHeight="1">
      <c r="A106" s="160">
        <v>87.0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hidden="1" customHeight="1">
      <c r="A107" s="160">
        <v>88.0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hidden="1" customHeight="1">
      <c r="A108" s="160">
        <v>89.0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hidden="1" customHeight="1">
      <c r="A109" s="160">
        <v>90.0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7.0" hidden="1" customHeight="1">
      <c r="A110" s="160">
        <v>91.0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27.0" hidden="1" customHeight="1">
      <c r="A111" s="160">
        <v>92.0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27.0" hidden="1" customHeight="1">
      <c r="A112" s="160">
        <v>93.0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27.0" hidden="1" customHeight="1">
      <c r="A113" s="160">
        <v>94.0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27.0" hidden="1" customHeight="1">
      <c r="A114" s="160">
        <v>95.0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27.0" hidden="1" customHeight="1">
      <c r="A115" s="160">
        <v>96.0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27.0" hidden="1" customHeight="1">
      <c r="A116" s="160">
        <v>97.0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27.0" hidden="1" customHeight="1">
      <c r="A117" s="160">
        <v>98.0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7.0" hidden="1" customHeight="1">
      <c r="A118" s="160">
        <v>99.0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7.0" hidden="1" customHeight="1">
      <c r="A119" s="160">
        <v>100.0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7.0" hidden="1" customHeight="1">
      <c r="A120" s="160">
        <v>101.0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7.0" hidden="1" customHeight="1">
      <c r="A121" s="160">
        <v>102.0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7.0" hidden="1" customHeight="1">
      <c r="A122" s="160">
        <v>103.0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7.0" hidden="1" customHeight="1">
      <c r="A123" s="160">
        <v>104.0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7.0" hidden="1" customHeight="1">
      <c r="A124" s="160">
        <v>105.0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7.0" hidden="1" customHeight="1">
      <c r="A125" s="160">
        <v>106.0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7.0" hidden="1" customHeight="1">
      <c r="A126" s="160">
        <v>107.0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7.0" hidden="1" customHeight="1">
      <c r="A127" s="160">
        <v>108.0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7.0" hidden="1" customHeight="1">
      <c r="A128" s="160">
        <v>109.0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27.0" hidden="1" customHeight="1">
      <c r="A129" s="160">
        <v>110.0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27.0" hidden="1" customHeight="1">
      <c r="A130" s="160">
        <v>111.0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27.0" hidden="1" customHeight="1">
      <c r="A131" s="160">
        <v>112.0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27.0" hidden="1" customHeight="1">
      <c r="A132" s="160">
        <v>113.0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27.0" hidden="1" customHeight="1">
      <c r="A133" s="160">
        <v>114.0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27.0" hidden="1" customHeight="1">
      <c r="A134" s="160">
        <v>115.0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27.0" hidden="1" customHeight="1">
      <c r="A135" s="160">
        <v>116.0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27.0" hidden="1" customHeight="1">
      <c r="A136" s="160">
        <v>117.0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27.0" hidden="1" customHeight="1">
      <c r="A137" s="160">
        <v>118.0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27.0" hidden="1" customHeight="1">
      <c r="A138" s="160">
        <v>119.0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27.0" hidden="1" customHeight="1">
      <c r="A139" s="160">
        <v>120.0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27.0" hidden="1" customHeight="1">
      <c r="A140" s="160">
        <v>121.0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27.0" hidden="1" customHeight="1">
      <c r="A141" s="160">
        <v>122.0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27.0" hidden="1" customHeight="1">
      <c r="A142" s="160">
        <v>123.0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27.0" hidden="1" customHeight="1">
      <c r="A143" s="160">
        <v>124.0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27.0" hidden="1" customHeight="1">
      <c r="A144" s="160">
        <v>125.0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27.0" hidden="1" customHeight="1">
      <c r="A145" s="160">
        <v>126.0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27.0" hidden="1" customHeight="1">
      <c r="A146" s="160">
        <v>127.0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</row>
    <row r="147" ht="27.0" hidden="1" customHeight="1">
      <c r="A147" s="160">
        <v>128.0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</row>
    <row r="148" ht="27.0" hidden="1" customHeight="1">
      <c r="A148" s="160">
        <v>129.0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</row>
    <row r="149" ht="27.0" hidden="1" customHeight="1">
      <c r="A149" s="160">
        <v>130.0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</row>
    <row r="150" ht="27.0" hidden="1" customHeight="1">
      <c r="A150" s="160">
        <v>131.0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</row>
    <row r="151" ht="27.0" hidden="1" customHeight="1">
      <c r="A151" s="160">
        <v>132.0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</row>
    <row r="152" ht="27.0" hidden="1" customHeight="1">
      <c r="A152" s="160">
        <v>133.0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</row>
    <row r="153" ht="27.0" hidden="1" customHeight="1">
      <c r="A153" s="160">
        <v>134.0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</row>
    <row r="154" ht="27.0" hidden="1" customHeight="1">
      <c r="A154" s="160">
        <v>135.0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</row>
    <row r="155" ht="27.0" hidden="1" customHeight="1">
      <c r="A155" s="160">
        <v>136.0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</row>
    <row r="156" ht="27.0" hidden="1" customHeight="1">
      <c r="A156" s="160">
        <v>137.0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</row>
    <row r="157" ht="27.0" hidden="1" customHeight="1">
      <c r="A157" s="160">
        <v>138.0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</row>
    <row r="158" ht="27.0" hidden="1" customHeight="1">
      <c r="A158" s="160">
        <v>139.0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</row>
    <row r="159" ht="27.0" hidden="1" customHeight="1">
      <c r="A159" s="160">
        <v>140.0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</row>
    <row r="160" ht="27.0" hidden="1" customHeight="1">
      <c r="A160" s="160">
        <v>141.0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</row>
    <row r="161" ht="27.0" hidden="1" customHeight="1">
      <c r="A161" s="160">
        <v>142.0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</row>
    <row r="162" ht="27.0" hidden="1" customHeight="1">
      <c r="A162" s="160">
        <v>143.0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</row>
    <row r="163" ht="27.0" hidden="1" customHeight="1">
      <c r="A163" s="160">
        <v>144.0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</row>
    <row r="164" ht="27.0" hidden="1" customHeight="1">
      <c r="A164" s="160">
        <v>145.0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</row>
    <row r="165" ht="27.0" hidden="1" customHeight="1">
      <c r="A165" s="160">
        <v>146.0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</row>
    <row r="166" ht="27.0" hidden="1" customHeight="1">
      <c r="A166" s="160">
        <v>147.0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</row>
    <row r="167" ht="27.0" hidden="1" customHeight="1">
      <c r="A167" s="160">
        <v>148.0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</row>
    <row r="168" ht="27.0" hidden="1" customHeight="1">
      <c r="A168" s="160">
        <v>149.0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</row>
    <row r="169" ht="27.0" hidden="1" customHeight="1">
      <c r="A169" s="160">
        <v>150.0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</row>
    <row r="170" ht="27.0" hidden="1" customHeight="1">
      <c r="A170" s="160">
        <v>151.0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</row>
    <row r="171" ht="27.0" hidden="1" customHeight="1">
      <c r="A171" s="160">
        <v>152.0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</row>
    <row r="172" ht="27.0" hidden="1" customHeight="1">
      <c r="A172" s="160">
        <v>153.0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</row>
    <row r="173" ht="27.0" hidden="1" customHeight="1">
      <c r="A173" s="160">
        <v>154.0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</row>
    <row r="174" ht="27.0" hidden="1" customHeight="1">
      <c r="A174" s="160">
        <v>155.0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</row>
    <row r="175" ht="27.0" hidden="1" customHeight="1">
      <c r="A175" s="160">
        <v>156.0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</row>
    <row r="176" ht="27.0" hidden="1" customHeight="1">
      <c r="A176" s="160">
        <v>157.0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</row>
    <row r="177" ht="27.0" hidden="1" customHeight="1">
      <c r="A177" s="160">
        <v>158.0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</row>
    <row r="178" ht="27.0" hidden="1" customHeight="1">
      <c r="A178" s="160">
        <v>159.0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</row>
    <row r="179" ht="27.0" hidden="1" customHeight="1">
      <c r="A179" s="160">
        <v>160.0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</row>
    <row r="180" ht="27.0" hidden="1" customHeight="1">
      <c r="A180" s="160">
        <v>161.0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</row>
    <row r="181" ht="27.0" hidden="1" customHeight="1">
      <c r="A181" s="160">
        <v>162.0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</row>
    <row r="182" ht="27.0" hidden="1" customHeight="1">
      <c r="A182" s="160">
        <v>163.0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</row>
    <row r="183" ht="27.0" hidden="1" customHeight="1">
      <c r="A183" s="160">
        <v>164.0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</row>
    <row r="184" ht="27.0" hidden="1" customHeight="1">
      <c r="A184" s="160">
        <v>165.0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</row>
    <row r="185" ht="27.0" hidden="1" customHeight="1">
      <c r="A185" s="160">
        <v>166.0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</row>
    <row r="186" ht="27.0" hidden="1" customHeight="1">
      <c r="A186" s="160">
        <v>167.0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</row>
    <row r="187" ht="27.0" hidden="1" customHeight="1">
      <c r="A187" s="160">
        <v>168.0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</row>
    <row r="188" ht="27.0" hidden="1" customHeight="1">
      <c r="A188" s="160">
        <v>169.0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</row>
    <row r="189" ht="27.0" hidden="1" customHeight="1">
      <c r="A189" s="160">
        <v>170.0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</row>
    <row r="190" ht="27.0" hidden="1" customHeight="1">
      <c r="A190" s="160">
        <v>171.0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</row>
    <row r="191" ht="27.0" hidden="1" customHeight="1">
      <c r="A191" s="160">
        <v>172.0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</row>
    <row r="192" ht="27.0" hidden="1" customHeight="1">
      <c r="A192" s="160">
        <v>173.0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</row>
    <row r="193" ht="27.0" hidden="1" customHeight="1">
      <c r="A193" s="160">
        <v>174.0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</row>
    <row r="194" ht="27.0" hidden="1" customHeight="1">
      <c r="A194" s="160">
        <v>175.0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</row>
    <row r="195" ht="27.0" hidden="1" customHeight="1">
      <c r="A195" s="160">
        <v>176.0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</row>
    <row r="196" ht="27.0" hidden="1" customHeight="1">
      <c r="A196" s="160">
        <v>177.0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</row>
    <row r="197" ht="27.0" hidden="1" customHeight="1">
      <c r="A197" s="160">
        <v>178.0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</row>
    <row r="198" ht="27.0" hidden="1" customHeight="1">
      <c r="A198" s="160">
        <v>179.0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</row>
    <row r="199" ht="27.0" hidden="1" customHeight="1">
      <c r="A199" s="160">
        <v>180.0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</row>
    <row r="200" ht="27.0" hidden="1" customHeight="1">
      <c r="A200" s="160">
        <v>181.0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</row>
    <row r="201" ht="27.0" hidden="1" customHeight="1">
      <c r="A201" s="160">
        <v>182.0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</row>
    <row r="202" ht="27.0" hidden="1" customHeight="1">
      <c r="A202" s="160">
        <v>183.0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</row>
    <row r="203" ht="27.0" hidden="1" customHeight="1">
      <c r="A203" s="160">
        <v>184.0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</row>
    <row r="204" ht="27.0" hidden="1" customHeight="1">
      <c r="A204" s="160">
        <v>185.0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</row>
    <row r="205" ht="27.0" hidden="1" customHeight="1">
      <c r="A205" s="160">
        <v>186.0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</row>
    <row r="206" ht="27.0" hidden="1" customHeight="1">
      <c r="A206" s="160">
        <v>187.0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</row>
    <row r="207" ht="27.0" hidden="1" customHeight="1">
      <c r="A207" s="160">
        <v>188.0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</row>
    <row r="208" ht="27.0" hidden="1" customHeight="1">
      <c r="A208" s="160">
        <v>189.0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</row>
    <row r="209" ht="27.0" hidden="1" customHeight="1">
      <c r="A209" s="160">
        <v>190.0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</row>
    <row r="210" ht="27.0" hidden="1" customHeight="1">
      <c r="A210" s="160">
        <v>191.0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</row>
    <row r="211" ht="27.0" hidden="1" customHeight="1">
      <c r="A211" s="160">
        <v>192.0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</row>
    <row r="212" ht="27.0" hidden="1" customHeight="1">
      <c r="A212" s="160">
        <v>193.0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</row>
    <row r="213" ht="27.0" hidden="1" customHeight="1">
      <c r="A213" s="160">
        <v>194.0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</row>
    <row r="214" ht="27.0" hidden="1" customHeight="1">
      <c r="A214" s="160">
        <v>195.0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</row>
    <row r="215" ht="27.0" hidden="1" customHeight="1">
      <c r="A215" s="160">
        <v>196.0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</row>
    <row r="216" ht="27.0" hidden="1" customHeight="1">
      <c r="A216" s="160">
        <v>197.0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</row>
    <row r="217" ht="27.0" hidden="1" customHeight="1">
      <c r="A217" s="160">
        <v>198.0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</row>
    <row r="218" ht="27.0" hidden="1" customHeight="1">
      <c r="A218" s="160">
        <v>199.0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</row>
    <row r="219" ht="27.0" hidden="1" customHeight="1">
      <c r="A219" s="160">
        <v>200.0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</row>
    <row r="220" ht="27.0" hidden="1" customHeight="1">
      <c r="A220" s="160">
        <v>201.0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</row>
    <row r="221" ht="27.0" hidden="1" customHeight="1">
      <c r="A221" s="160">
        <v>202.0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</row>
    <row r="222" ht="27.0" hidden="1" customHeight="1">
      <c r="A222" s="160">
        <v>203.0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</row>
    <row r="223" ht="27.0" hidden="1" customHeight="1">
      <c r="A223" s="160">
        <v>204.0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</row>
    <row r="224" ht="27.0" hidden="1" customHeight="1">
      <c r="A224" s="160">
        <v>205.0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</row>
    <row r="225" ht="27.0" hidden="1" customHeight="1">
      <c r="A225" s="160">
        <v>206.0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</row>
    <row r="226" ht="27.0" hidden="1" customHeight="1">
      <c r="A226" s="160">
        <v>207.0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</row>
    <row r="227" ht="27.0" hidden="1" customHeight="1">
      <c r="A227" s="160">
        <v>208.0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</row>
    <row r="228" ht="27.0" hidden="1" customHeight="1">
      <c r="A228" s="160">
        <v>209.0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</row>
    <row r="229" ht="27.0" hidden="1" customHeight="1">
      <c r="A229" s="160">
        <v>210.0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</row>
    <row r="230" ht="27.0" hidden="1" customHeight="1">
      <c r="A230" s="160">
        <v>211.0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</row>
    <row r="231" ht="27.0" hidden="1" customHeight="1">
      <c r="A231" s="160">
        <v>212.0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0">C231/100</f>
        <v>0</v>
      </c>
      <c r="X231" s="197">
        <f t="shared" si="220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</row>
    <row r="232" ht="27.0" hidden="1" customHeight="1">
      <c r="A232" s="160">
        <v>213.0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1">C232/100</f>
        <v>0</v>
      </c>
      <c r="X232" s="197">
        <f t="shared" si="221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</row>
    <row r="233" ht="27.0" hidden="1" customHeight="1">
      <c r="A233" s="160">
        <v>214.0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2">C233/100</f>
        <v>0</v>
      </c>
      <c r="X233" s="197">
        <f t="shared" si="222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</row>
    <row r="234" ht="27.0" hidden="1" customHeight="1">
      <c r="A234" s="160">
        <v>215.0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3">C234/100</f>
        <v>0</v>
      </c>
      <c r="X234" s="197">
        <f t="shared" si="223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</row>
    <row r="235" ht="27.0" hidden="1" customHeight="1">
      <c r="A235" s="160">
        <v>216.0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4">C235/100</f>
        <v>0</v>
      </c>
      <c r="X235" s="197">
        <f t="shared" si="224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</row>
    <row r="236" ht="27.0" hidden="1" customHeight="1">
      <c r="A236" s="160">
        <v>217.0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5">C236/100</f>
        <v>0</v>
      </c>
      <c r="X236" s="197">
        <f t="shared" si="225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</row>
    <row r="237" ht="27.0" customHeight="1">
      <c r="A237" s="160"/>
      <c r="B237" s="177"/>
      <c r="C237" s="177"/>
      <c r="D237" s="177"/>
      <c r="E237" s="177"/>
      <c r="F237" s="177"/>
      <c r="G237" s="177"/>
      <c r="H237" s="180"/>
      <c r="I237" s="160"/>
      <c r="J237" s="202">
        <f>+Q300</f>
        <v>74.8</v>
      </c>
      <c r="K237" s="139"/>
      <c r="L237" s="139"/>
      <c r="M237" s="139"/>
      <c r="N237" s="139"/>
      <c r="O237" s="139"/>
      <c r="P237" s="139"/>
      <c r="Q237" s="139"/>
      <c r="R237" s="203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6">C237/100</f>
        <v>0</v>
      </c>
      <c r="X237" s="197">
        <f t="shared" si="226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</row>
    <row r="238" ht="27.0" customHeight="1">
      <c r="A238" s="160"/>
      <c r="B238" s="204"/>
      <c r="C238" s="204"/>
      <c r="D238" s="204"/>
      <c r="E238" s="204"/>
      <c r="F238" s="204"/>
      <c r="G238" s="204"/>
      <c r="H238" s="205"/>
      <c r="I238" s="206">
        <f>SUM(I31:I236)</f>
        <v>39</v>
      </c>
      <c r="J238" s="207">
        <f>SUM(J31:J237)</f>
        <v>26882.84601</v>
      </c>
      <c r="K238" s="208"/>
      <c r="L238" s="208"/>
      <c r="M238" s="208"/>
      <c r="N238" s="208"/>
      <c r="O238" s="208"/>
      <c r="P238" s="208"/>
      <c r="Q238" s="208"/>
      <c r="R238" s="141"/>
      <c r="S238" s="208">
        <f>SUMIFS($T$31:$T$236,$S$31:$S$236,"&gt;=3")</f>
        <v>17</v>
      </c>
      <c r="T238" s="208">
        <f t="shared" ref="T238:U238" si="227">SUM(T31:T236)</f>
        <v>39</v>
      </c>
      <c r="U238" s="208">
        <f t="shared" si="227"/>
        <v>521.49</v>
      </c>
      <c r="V238" s="208"/>
      <c r="W238" s="208"/>
      <c r="X238" s="208"/>
      <c r="Y238" s="208"/>
      <c r="Z238" s="209">
        <f>SUM(Z31:Z237)</f>
        <v>1051.454859</v>
      </c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8"/>
      <c r="AM238" s="208"/>
      <c r="AN238" s="208"/>
      <c r="AO238" s="208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01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03"/>
      <c r="S240" s="139"/>
      <c r="T240" s="139" t="s">
        <v>48</v>
      </c>
      <c r="U240" s="139" t="s">
        <v>59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31</v>
      </c>
      <c r="T241" s="210">
        <f>SUMIFS($J$31:$J$236,$S$31:$S$236,"&gt;=3")</f>
        <v>25331.30071</v>
      </c>
      <c r="U241" s="211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</row>
    <row r="242" ht="29.25" customHeight="1">
      <c r="A242" s="139" t="s">
        <v>32</v>
      </c>
      <c r="B242" s="139"/>
      <c r="C242" s="139"/>
      <c r="D242" s="139" t="s">
        <v>33</v>
      </c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 t="s">
        <v>34</v>
      </c>
      <c r="T242" s="212">
        <f>J238-T241</f>
        <v>1551.545296</v>
      </c>
      <c r="U242" s="211">
        <f>+SUMIFS($U$31:$U$236,$S$31:$S$236,"&gt;=3")</f>
        <v>488.21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03"/>
      <c r="S243" s="139"/>
      <c r="T243" s="213">
        <f>+I238</f>
        <v>39</v>
      </c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</row>
    <row r="244" ht="39.0" customHeight="1">
      <c r="A244" s="177"/>
      <c r="B244" s="160" t="s">
        <v>12</v>
      </c>
      <c r="C244" s="178" t="s">
        <v>60</v>
      </c>
      <c r="D244" s="52"/>
      <c r="E244" s="53"/>
      <c r="F244" s="179"/>
      <c r="G244" s="179"/>
      <c r="H244" s="180" t="s">
        <v>14</v>
      </c>
      <c r="I244" s="160" t="s">
        <v>15</v>
      </c>
      <c r="J244" s="160" t="s">
        <v>16</v>
      </c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</row>
    <row r="245" ht="27.0" customHeight="1">
      <c r="A245" s="154">
        <v>1.0</v>
      </c>
      <c r="B245" s="214"/>
      <c r="C245" s="214"/>
      <c r="D245" s="214"/>
      <c r="E245" s="214"/>
      <c r="F245" s="214">
        <f t="shared" ref="F245:F258" si="228">1-VALUE(IF(RIGHT(B245, 1)="%", RIGHT(B245, 3), 0))</f>
        <v>1</v>
      </c>
      <c r="G245" s="214">
        <f t="shared" ref="G245:G258" si="229">+Q245*C245/100*D245/100*E245/100</f>
        <v>0</v>
      </c>
      <c r="H245" s="215">
        <f t="shared" ref="H245:H258" si="230">IF(F245=0, G245, F245*G245)</f>
        <v>0</v>
      </c>
      <c r="I245" s="214"/>
      <c r="J245" s="216"/>
      <c r="K245" s="139"/>
      <c r="L245" s="177">
        <f t="shared" ref="L245:L253" si="231">D245*25.4/1000</f>
        <v>0</v>
      </c>
      <c r="M245" s="160" t="str">
        <f t="shared" ref="M245:M249" si="232">+I245</f>
        <v/>
      </c>
      <c r="N245" s="160">
        <f t="shared" ref="N245:N249" si="233">M245*L245</f>
        <v>0</v>
      </c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</row>
    <row r="246" ht="27.0" customHeight="1">
      <c r="A246" s="154">
        <v>2.0</v>
      </c>
      <c r="B246" s="214"/>
      <c r="C246" s="214"/>
      <c r="D246" s="214"/>
      <c r="E246" s="214"/>
      <c r="F246" s="214">
        <f t="shared" si="228"/>
        <v>1</v>
      </c>
      <c r="G246" s="214">
        <f t="shared" si="229"/>
        <v>0</v>
      </c>
      <c r="H246" s="215">
        <f t="shared" si="230"/>
        <v>0</v>
      </c>
      <c r="I246" s="214"/>
      <c r="J246" s="216">
        <f t="shared" ref="J246:J258" si="234">+I246*H246</f>
        <v>0</v>
      </c>
      <c r="K246" s="139"/>
      <c r="L246" s="177">
        <f t="shared" si="231"/>
        <v>0</v>
      </c>
      <c r="M246" s="160" t="str">
        <f t="shared" si="232"/>
        <v/>
      </c>
      <c r="N246" s="160">
        <f t="shared" si="233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</row>
    <row r="247" ht="27.0" customHeight="1">
      <c r="A247" s="154">
        <v>3.0</v>
      </c>
      <c r="B247" s="217"/>
      <c r="C247" s="217"/>
      <c r="D247" s="217"/>
      <c r="E247" s="217"/>
      <c r="F247" s="217">
        <f t="shared" si="228"/>
        <v>1</v>
      </c>
      <c r="G247" s="217">
        <f t="shared" si="229"/>
        <v>0</v>
      </c>
      <c r="H247" s="218">
        <f t="shared" si="230"/>
        <v>0</v>
      </c>
      <c r="I247" s="217"/>
      <c r="J247" s="194">
        <f t="shared" si="234"/>
        <v>0</v>
      </c>
      <c r="K247" s="139"/>
      <c r="L247" s="177">
        <f t="shared" si="231"/>
        <v>0</v>
      </c>
      <c r="M247" s="160" t="str">
        <f t="shared" si="232"/>
        <v/>
      </c>
      <c r="N247" s="160">
        <f t="shared" si="233"/>
        <v>0</v>
      </c>
      <c r="O247" s="139"/>
      <c r="P247" s="139"/>
      <c r="Q247" s="139"/>
      <c r="R247" s="139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</row>
    <row r="248" ht="27.0" customHeight="1">
      <c r="A248" s="154">
        <v>4.0</v>
      </c>
      <c r="B248" s="217"/>
      <c r="C248" s="217"/>
      <c r="D248" s="217"/>
      <c r="E248" s="217"/>
      <c r="F248" s="217">
        <f t="shared" si="228"/>
        <v>1</v>
      </c>
      <c r="G248" s="217">
        <f t="shared" si="229"/>
        <v>0</v>
      </c>
      <c r="H248" s="218">
        <f t="shared" si="230"/>
        <v>0</v>
      </c>
      <c r="I248" s="217"/>
      <c r="J248" s="194">
        <f t="shared" si="234"/>
        <v>0</v>
      </c>
      <c r="K248" s="139"/>
      <c r="L248" s="177">
        <f t="shared" si="231"/>
        <v>0</v>
      </c>
      <c r="M248" s="160" t="str">
        <f t="shared" si="232"/>
        <v/>
      </c>
      <c r="N248" s="160">
        <f t="shared" si="233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</row>
    <row r="249" ht="27.0" customHeight="1">
      <c r="A249" s="154">
        <v>5.0</v>
      </c>
      <c r="B249" s="217"/>
      <c r="C249" s="217"/>
      <c r="D249" s="217"/>
      <c r="E249" s="217"/>
      <c r="F249" s="217">
        <f t="shared" si="228"/>
        <v>1</v>
      </c>
      <c r="G249" s="217">
        <f t="shared" si="229"/>
        <v>0</v>
      </c>
      <c r="H249" s="218">
        <f t="shared" si="230"/>
        <v>0</v>
      </c>
      <c r="I249" s="217"/>
      <c r="J249" s="194">
        <f t="shared" si="234"/>
        <v>0</v>
      </c>
      <c r="K249" s="139"/>
      <c r="L249" s="177">
        <f t="shared" si="231"/>
        <v>0</v>
      </c>
      <c r="M249" s="160" t="str">
        <f t="shared" si="232"/>
        <v/>
      </c>
      <c r="N249" s="160">
        <f t="shared" si="233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</row>
    <row r="250" ht="27.0" hidden="1" customHeight="1">
      <c r="A250" s="154">
        <v>6.0</v>
      </c>
      <c r="B250" s="217"/>
      <c r="C250" s="217"/>
      <c r="D250" s="217"/>
      <c r="E250" s="217"/>
      <c r="F250" s="217">
        <f t="shared" si="228"/>
        <v>1</v>
      </c>
      <c r="G250" s="217">
        <f t="shared" si="229"/>
        <v>0</v>
      </c>
      <c r="H250" s="218">
        <f t="shared" si="230"/>
        <v>0</v>
      </c>
      <c r="I250" s="217"/>
      <c r="J250" s="194">
        <f t="shared" si="234"/>
        <v>0</v>
      </c>
      <c r="K250" s="139"/>
      <c r="L250" s="139">
        <f t="shared" si="231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</row>
    <row r="251" ht="27.0" hidden="1" customHeight="1">
      <c r="A251" s="154">
        <v>7.0</v>
      </c>
      <c r="B251" s="217"/>
      <c r="C251" s="217"/>
      <c r="D251" s="217"/>
      <c r="E251" s="217"/>
      <c r="F251" s="217">
        <f t="shared" si="228"/>
        <v>1</v>
      </c>
      <c r="G251" s="217">
        <f t="shared" si="229"/>
        <v>0</v>
      </c>
      <c r="H251" s="218">
        <f t="shared" si="230"/>
        <v>0</v>
      </c>
      <c r="I251" s="217"/>
      <c r="J251" s="194">
        <f t="shared" si="234"/>
        <v>0</v>
      </c>
      <c r="K251" s="139"/>
      <c r="L251" s="139">
        <f t="shared" si="231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</row>
    <row r="252" ht="27.0" hidden="1" customHeight="1">
      <c r="A252" s="154">
        <v>8.0</v>
      </c>
      <c r="B252" s="217"/>
      <c r="C252" s="217"/>
      <c r="D252" s="217"/>
      <c r="E252" s="217"/>
      <c r="F252" s="217">
        <f t="shared" si="228"/>
        <v>1</v>
      </c>
      <c r="G252" s="217">
        <f t="shared" si="229"/>
        <v>0</v>
      </c>
      <c r="H252" s="218">
        <f t="shared" si="230"/>
        <v>0</v>
      </c>
      <c r="I252" s="217"/>
      <c r="J252" s="194">
        <f t="shared" si="234"/>
        <v>0</v>
      </c>
      <c r="K252" s="139"/>
      <c r="L252" s="139">
        <f t="shared" si="231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</row>
    <row r="253" ht="27.0" hidden="1" customHeight="1">
      <c r="A253" s="154">
        <v>9.0</v>
      </c>
      <c r="B253" s="217"/>
      <c r="C253" s="217"/>
      <c r="D253" s="217"/>
      <c r="E253" s="217"/>
      <c r="F253" s="217">
        <f t="shared" si="228"/>
        <v>1</v>
      </c>
      <c r="G253" s="217">
        <f t="shared" si="229"/>
        <v>0</v>
      </c>
      <c r="H253" s="218">
        <f t="shared" si="230"/>
        <v>0</v>
      </c>
      <c r="I253" s="217"/>
      <c r="J253" s="194">
        <f t="shared" si="234"/>
        <v>0</v>
      </c>
      <c r="K253" s="139"/>
      <c r="L253" s="139">
        <f t="shared" si="231"/>
        <v>0</v>
      </c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</row>
    <row r="254" ht="27.0" hidden="1" customHeight="1">
      <c r="A254" s="154">
        <v>10.0</v>
      </c>
      <c r="B254" s="192"/>
      <c r="C254" s="192"/>
      <c r="D254" s="192"/>
      <c r="E254" s="192"/>
      <c r="F254" s="192">
        <f t="shared" si="228"/>
        <v>1</v>
      </c>
      <c r="G254" s="192">
        <f t="shared" si="229"/>
        <v>0</v>
      </c>
      <c r="H254" s="193">
        <f t="shared" si="230"/>
        <v>0</v>
      </c>
      <c r="I254" s="192"/>
      <c r="J254" s="194">
        <f t="shared" si="234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</row>
    <row r="255" ht="27.0" hidden="1" customHeight="1">
      <c r="A255" s="154">
        <v>11.0</v>
      </c>
      <c r="B255" s="192"/>
      <c r="C255" s="192"/>
      <c r="D255" s="192"/>
      <c r="E255" s="192"/>
      <c r="F255" s="192">
        <f t="shared" si="228"/>
        <v>1</v>
      </c>
      <c r="G255" s="192">
        <f t="shared" si="229"/>
        <v>0</v>
      </c>
      <c r="H255" s="193">
        <f t="shared" si="230"/>
        <v>0</v>
      </c>
      <c r="I255" s="192"/>
      <c r="J255" s="194">
        <f t="shared" si="234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</row>
    <row r="256" ht="27.0" hidden="1" customHeight="1">
      <c r="A256" s="154">
        <v>12.0</v>
      </c>
      <c r="B256" s="192"/>
      <c r="C256" s="192"/>
      <c r="D256" s="192"/>
      <c r="E256" s="192"/>
      <c r="F256" s="192">
        <f t="shared" si="228"/>
        <v>1</v>
      </c>
      <c r="G256" s="192">
        <f t="shared" si="229"/>
        <v>0</v>
      </c>
      <c r="H256" s="193">
        <f t="shared" si="230"/>
        <v>0</v>
      </c>
      <c r="I256" s="192"/>
      <c r="J256" s="194">
        <f t="shared" si="234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</row>
    <row r="257" ht="27.0" hidden="1" customHeight="1">
      <c r="A257" s="154">
        <v>13.0</v>
      </c>
      <c r="B257" s="192"/>
      <c r="C257" s="192"/>
      <c r="D257" s="192"/>
      <c r="E257" s="192"/>
      <c r="F257" s="192">
        <f t="shared" si="228"/>
        <v>1</v>
      </c>
      <c r="G257" s="192">
        <f t="shared" si="229"/>
        <v>0</v>
      </c>
      <c r="H257" s="193">
        <f t="shared" si="230"/>
        <v>0</v>
      </c>
      <c r="I257" s="192"/>
      <c r="J257" s="194">
        <f t="shared" si="234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</row>
    <row r="258" ht="27.0" hidden="1" customHeight="1">
      <c r="A258" s="154">
        <v>14.0</v>
      </c>
      <c r="B258" s="192"/>
      <c r="C258" s="192"/>
      <c r="D258" s="192"/>
      <c r="E258" s="192"/>
      <c r="F258" s="192">
        <f t="shared" si="228"/>
        <v>1</v>
      </c>
      <c r="G258" s="192">
        <f t="shared" si="229"/>
        <v>0</v>
      </c>
      <c r="H258" s="193">
        <f t="shared" si="230"/>
        <v>0</v>
      </c>
      <c r="I258" s="192"/>
      <c r="J258" s="194">
        <f t="shared" si="234"/>
        <v>0</v>
      </c>
      <c r="K258" s="139"/>
      <c r="L258" s="139"/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</row>
    <row r="259" ht="24.75" customHeight="1">
      <c r="A259" s="160"/>
      <c r="B259" s="195"/>
      <c r="C259" s="195"/>
      <c r="D259" s="195"/>
      <c r="E259" s="195"/>
      <c r="F259" s="195"/>
      <c r="G259" s="195"/>
      <c r="H259" s="221" t="s">
        <v>38</v>
      </c>
      <c r="I259" s="195"/>
      <c r="J259" s="222">
        <f>SUM(J245:J258)</f>
        <v>0</v>
      </c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</row>
    <row r="260" ht="18.75" customHeight="1">
      <c r="A260" s="174"/>
      <c r="B260" s="144"/>
      <c r="C260" s="144"/>
      <c r="D260" s="144"/>
      <c r="E260" s="144"/>
      <c r="F260" s="144"/>
      <c r="G260" s="144"/>
      <c r="H260" s="145"/>
      <c r="I260" s="144"/>
      <c r="J260" s="175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</row>
    <row r="263" ht="18.75" customHeight="1">
      <c r="A263" s="139" t="s">
        <v>39</v>
      </c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</row>
    <row r="265" ht="42.0" customHeight="1">
      <c r="A265" s="177"/>
      <c r="B265" s="160" t="s">
        <v>12</v>
      </c>
      <c r="C265" s="178" t="s">
        <v>61</v>
      </c>
      <c r="D265" s="52"/>
      <c r="E265" s="53"/>
      <c r="F265" s="224"/>
      <c r="G265" s="224"/>
      <c r="H265" s="180" t="s">
        <v>14</v>
      </c>
      <c r="I265" s="225" t="s">
        <v>15</v>
      </c>
      <c r="J265" s="160" t="s">
        <v>16</v>
      </c>
      <c r="K265" s="139"/>
      <c r="L265" s="139"/>
      <c r="M265" s="139"/>
      <c r="N265" s="139"/>
      <c r="O265" s="139"/>
      <c r="P265" s="139"/>
      <c r="Q265" s="139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</row>
    <row r="266" ht="24.75" customHeight="1">
      <c r="A266" s="160">
        <v>1.0</v>
      </c>
      <c r="B266" s="182" t="s">
        <v>118</v>
      </c>
      <c r="C266" s="198"/>
      <c r="D266" s="198"/>
      <c r="E266" s="198"/>
      <c r="F266" s="198"/>
      <c r="G266" s="198"/>
      <c r="H266" s="226">
        <v>35.0</v>
      </c>
      <c r="I266" s="198">
        <v>1.0</v>
      </c>
      <c r="J266" s="194">
        <f t="shared" ref="J266:J298" si="235">+I266*H266</f>
        <v>35</v>
      </c>
      <c r="K266" s="177"/>
      <c r="L266" s="177"/>
      <c r="M266" s="177"/>
      <c r="N266" s="177"/>
      <c r="O266" s="177"/>
      <c r="P266" s="177"/>
      <c r="Q266" s="227"/>
      <c r="R266" s="223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</row>
    <row r="267" ht="24.75" customHeight="1">
      <c r="A267" s="160">
        <v>2.0</v>
      </c>
      <c r="B267" s="192" t="s">
        <v>118</v>
      </c>
      <c r="C267" s="198"/>
      <c r="D267" s="198"/>
      <c r="E267" s="198"/>
      <c r="F267" s="198"/>
      <c r="G267" s="198"/>
      <c r="H267" s="226">
        <v>16.0</v>
      </c>
      <c r="I267" s="198">
        <v>1.0</v>
      </c>
      <c r="J267" s="194">
        <f t="shared" si="235"/>
        <v>16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</row>
    <row r="268" ht="24.75" customHeight="1">
      <c r="A268" s="160">
        <v>3.0</v>
      </c>
      <c r="B268" s="182" t="s">
        <v>63</v>
      </c>
      <c r="C268" s="198"/>
      <c r="D268" s="198"/>
      <c r="E268" s="198"/>
      <c r="F268" s="198"/>
      <c r="G268" s="198"/>
      <c r="H268" s="226">
        <v>34.0</v>
      </c>
      <c r="I268" s="198">
        <v>1.0</v>
      </c>
      <c r="J268" s="194">
        <f t="shared" si="235"/>
        <v>34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</row>
    <row r="269" ht="24.75" customHeight="1">
      <c r="A269" s="160">
        <v>4.0</v>
      </c>
      <c r="B269" s="192" t="s">
        <v>63</v>
      </c>
      <c r="C269" s="198"/>
      <c r="D269" s="198"/>
      <c r="E269" s="198"/>
      <c r="F269" s="198"/>
      <c r="G269" s="198"/>
      <c r="H269" s="226">
        <v>20.0</v>
      </c>
      <c r="I269" s="198">
        <v>1.0</v>
      </c>
      <c r="J269" s="194">
        <f t="shared" si="235"/>
        <v>20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</row>
    <row r="270" ht="24.75" customHeight="1">
      <c r="A270" s="160">
        <v>5.0</v>
      </c>
      <c r="B270" s="182" t="s">
        <v>115</v>
      </c>
      <c r="C270" s="198"/>
      <c r="D270" s="198"/>
      <c r="E270" s="198"/>
      <c r="F270" s="198"/>
      <c r="G270" s="198"/>
      <c r="H270" s="226">
        <v>29.0</v>
      </c>
      <c r="I270" s="198">
        <v>1.0</v>
      </c>
      <c r="J270" s="194">
        <f t="shared" si="235"/>
        <v>29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</row>
    <row r="271" ht="24.75" customHeight="1">
      <c r="A271" s="160">
        <v>6.0</v>
      </c>
      <c r="B271" s="192" t="s">
        <v>115</v>
      </c>
      <c r="C271" s="198"/>
      <c r="D271" s="198"/>
      <c r="E271" s="198"/>
      <c r="F271" s="198"/>
      <c r="G271" s="198"/>
      <c r="H271" s="226">
        <v>13.0</v>
      </c>
      <c r="I271" s="198">
        <v>1.0</v>
      </c>
      <c r="J271" s="194">
        <f t="shared" si="235"/>
        <v>13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</row>
    <row r="272" ht="24.75" customHeight="1">
      <c r="A272" s="160">
        <v>7.0</v>
      </c>
      <c r="B272" s="182" t="s">
        <v>82</v>
      </c>
      <c r="C272" s="198"/>
      <c r="D272" s="198"/>
      <c r="E272" s="198"/>
      <c r="F272" s="198"/>
      <c r="G272" s="198"/>
      <c r="H272" s="226">
        <v>21.0</v>
      </c>
      <c r="I272" s="198">
        <v>1.0</v>
      </c>
      <c r="J272" s="194">
        <f t="shared" si="235"/>
        <v>21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</row>
    <row r="273" ht="24.75" customHeight="1">
      <c r="A273" s="160">
        <v>8.0</v>
      </c>
      <c r="B273" s="192" t="s">
        <v>82</v>
      </c>
      <c r="C273" s="198"/>
      <c r="D273" s="198"/>
      <c r="E273" s="198"/>
      <c r="F273" s="198"/>
      <c r="G273" s="198"/>
      <c r="H273" s="226">
        <v>19.0</v>
      </c>
      <c r="I273" s="198">
        <v>1.0</v>
      </c>
      <c r="J273" s="194">
        <f t="shared" si="235"/>
        <v>19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</row>
    <row r="274" ht="24.75" hidden="1" customHeight="1">
      <c r="A274" s="160">
        <v>11.0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5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</row>
    <row r="275" ht="24.75" hidden="1" customHeight="1">
      <c r="A275" s="160">
        <v>12.0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5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</row>
    <row r="276" ht="24.75" hidden="1" customHeight="1">
      <c r="A276" s="160">
        <v>13.0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5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</row>
    <row r="277" ht="24.75" hidden="1" customHeight="1">
      <c r="A277" s="160">
        <v>14.0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5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</row>
    <row r="278" ht="24.75" hidden="1" customHeight="1">
      <c r="A278" s="160">
        <v>15.0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5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</row>
    <row r="279" ht="24.75" hidden="1" customHeight="1">
      <c r="A279" s="160">
        <v>16.0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5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</row>
    <row r="280" ht="24.75" hidden="1" customHeight="1">
      <c r="A280" s="160">
        <v>17.0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5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</row>
    <row r="281" ht="24.75" hidden="1" customHeight="1">
      <c r="A281" s="160">
        <v>18.0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5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</row>
    <row r="282" ht="24.75" hidden="1" customHeight="1">
      <c r="A282" s="160">
        <v>19.0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5"/>
        <v>0</v>
      </c>
      <c r="K282" s="177"/>
      <c r="L282" s="177"/>
      <c r="M282" s="177"/>
      <c r="N282" s="177"/>
      <c r="O282" s="177"/>
      <c r="P282" s="177"/>
      <c r="Q282" s="227"/>
      <c r="R282" s="140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</row>
    <row r="283" ht="24.75" hidden="1" customHeight="1">
      <c r="A283" s="160">
        <v>20.0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5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</row>
    <row r="284" ht="24.75" hidden="1" customHeight="1">
      <c r="A284" s="160">
        <v>21.0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5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</row>
    <row r="285" ht="24.75" hidden="1" customHeight="1">
      <c r="A285" s="160">
        <v>22.0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5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</row>
    <row r="286" ht="24.75" hidden="1" customHeight="1">
      <c r="A286" s="160">
        <v>23.0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5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</row>
    <row r="287" ht="24.75" hidden="1" customHeight="1">
      <c r="A287" s="160">
        <v>24.0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5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</row>
    <row r="288" ht="24.75" hidden="1" customHeight="1">
      <c r="A288" s="160">
        <v>25.0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5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</row>
    <row r="289" ht="24.75" hidden="1" customHeight="1">
      <c r="A289" s="160">
        <v>26.0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35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</row>
    <row r="290" ht="24.75" hidden="1" customHeight="1">
      <c r="A290" s="160">
        <v>27.0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5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</row>
    <row r="291" ht="24.75" hidden="1" customHeight="1">
      <c r="A291" s="160">
        <v>28.0</v>
      </c>
      <c r="B291" s="228"/>
      <c r="C291" s="198"/>
      <c r="D291" s="198"/>
      <c r="E291" s="198"/>
      <c r="F291" s="198"/>
      <c r="G291" s="198"/>
      <c r="H291" s="198"/>
      <c r="I291" s="198"/>
      <c r="J291" s="194">
        <f t="shared" si="235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</row>
    <row r="292" ht="24.75" hidden="1" customHeight="1">
      <c r="A292" s="160">
        <v>29.0</v>
      </c>
      <c r="B292" s="229"/>
      <c r="C292" s="198"/>
      <c r="D292" s="198"/>
      <c r="E292" s="198"/>
      <c r="F292" s="198"/>
      <c r="G292" s="198"/>
      <c r="H292" s="198"/>
      <c r="I292" s="198"/>
      <c r="J292" s="194">
        <f t="shared" si="235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</row>
    <row r="293" ht="24.75" hidden="1" customHeight="1">
      <c r="A293" s="160">
        <v>30.0</v>
      </c>
      <c r="B293" s="229"/>
      <c r="C293" s="198"/>
      <c r="D293" s="198"/>
      <c r="E293" s="198"/>
      <c r="F293" s="198"/>
      <c r="G293" s="198"/>
      <c r="H293" s="226"/>
      <c r="I293" s="198"/>
      <c r="J293" s="194">
        <f t="shared" si="235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</row>
    <row r="294" ht="24.75" hidden="1" customHeight="1">
      <c r="A294" s="160">
        <v>31.0</v>
      </c>
      <c r="B294" s="217"/>
      <c r="C294" s="198"/>
      <c r="D294" s="198"/>
      <c r="E294" s="198"/>
      <c r="F294" s="198"/>
      <c r="G294" s="198"/>
      <c r="H294" s="226"/>
      <c r="I294" s="198"/>
      <c r="J294" s="194">
        <f t="shared" si="235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</row>
    <row r="295" ht="24.75" hidden="1" customHeight="1">
      <c r="A295" s="160">
        <v>32.0</v>
      </c>
      <c r="B295" s="217"/>
      <c r="C295" s="160"/>
      <c r="D295" s="160"/>
      <c r="E295" s="160"/>
      <c r="F295" s="160"/>
      <c r="G295" s="160"/>
      <c r="H295" s="160"/>
      <c r="I295" s="160"/>
      <c r="J295" s="194">
        <f t="shared" si="235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</row>
    <row r="296" ht="24.75" hidden="1" customHeight="1">
      <c r="A296" s="160">
        <v>33.0</v>
      </c>
      <c r="B296" s="229"/>
      <c r="C296" s="160"/>
      <c r="D296" s="160"/>
      <c r="E296" s="160"/>
      <c r="F296" s="160"/>
      <c r="G296" s="160"/>
      <c r="H296" s="160"/>
      <c r="I296" s="160"/>
      <c r="J296" s="194">
        <f t="shared" si="235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</row>
    <row r="297" ht="24.75" hidden="1" customHeight="1">
      <c r="A297" s="160">
        <v>34.0</v>
      </c>
      <c r="B297" s="230"/>
      <c r="C297" s="160"/>
      <c r="D297" s="160"/>
      <c r="E297" s="160"/>
      <c r="F297" s="160"/>
      <c r="G297" s="160"/>
      <c r="H297" s="160"/>
      <c r="I297" s="160"/>
      <c r="J297" s="194">
        <f t="shared" si="235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</row>
    <row r="298" ht="24.75" hidden="1" customHeight="1">
      <c r="A298" s="160">
        <v>35.0</v>
      </c>
      <c r="B298" s="231"/>
      <c r="C298" s="160"/>
      <c r="D298" s="160"/>
      <c r="E298" s="160"/>
      <c r="F298" s="160"/>
      <c r="G298" s="160"/>
      <c r="H298" s="160"/>
      <c r="I298" s="160"/>
      <c r="J298" s="194">
        <f t="shared" si="235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 t="s">
        <v>38</v>
      </c>
      <c r="I299" s="139"/>
      <c r="J299" s="232">
        <f>SUM(J266:J298)</f>
        <v>187</v>
      </c>
      <c r="K299" s="233"/>
      <c r="L299" s="233"/>
      <c r="M299" s="233"/>
      <c r="N299" s="233"/>
      <c r="O299" s="233"/>
      <c r="P299" s="233"/>
      <c r="Q299" s="233"/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</row>
    <row r="300" ht="18.75" customHeight="1">
      <c r="A300" s="144"/>
      <c r="B300" s="144"/>
      <c r="C300" s="144"/>
      <c r="D300" s="144"/>
      <c r="E300" s="144"/>
      <c r="F300" s="144"/>
      <c r="G300" s="144"/>
      <c r="H300" s="145"/>
      <c r="I300" s="173"/>
      <c r="J300" s="204">
        <f>+J299*60%</f>
        <v>112.2</v>
      </c>
      <c r="K300" s="204"/>
      <c r="L300" s="204"/>
      <c r="M300" s="204"/>
      <c r="N300" s="204"/>
      <c r="O300" s="204"/>
      <c r="P300" s="204"/>
      <c r="Q300" s="204">
        <f>+J299*40%</f>
        <v>74.8</v>
      </c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</row>
    <row r="303" ht="19.5" customHeight="1">
      <c r="A303" s="234" t="s">
        <v>41</v>
      </c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</row>
    <row r="304" ht="57.0" customHeight="1">
      <c r="A304" s="235"/>
      <c r="B304" s="236" t="s">
        <v>42</v>
      </c>
      <c r="C304" s="236" t="s">
        <v>43</v>
      </c>
      <c r="D304" s="236" t="s">
        <v>44</v>
      </c>
      <c r="E304" s="236" t="s">
        <v>45</v>
      </c>
      <c r="F304" s="236"/>
      <c r="G304" s="236"/>
      <c r="H304" s="237" t="s">
        <v>46</v>
      </c>
      <c r="I304" s="238" t="s">
        <v>47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</row>
    <row r="305" ht="18.75" customHeight="1">
      <c r="A305" s="239" t="s">
        <v>48</v>
      </c>
      <c r="B305" s="240">
        <f>+E24</f>
        <v>29056.934</v>
      </c>
      <c r="C305" s="241">
        <f>+J238</f>
        <v>26882.84601</v>
      </c>
      <c r="D305" s="241">
        <f>+J259</f>
        <v>0</v>
      </c>
      <c r="E305" s="242">
        <f>J300</f>
        <v>112.2</v>
      </c>
      <c r="F305" s="242"/>
      <c r="G305" s="242"/>
      <c r="H305" s="243">
        <f>+I24</f>
        <v>1617.663151</v>
      </c>
      <c r="I305" s="244">
        <f>+B305-C305-D305-E305-H305</f>
        <v>444.2248409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</row>
    <row r="306" ht="19.5" customHeight="1">
      <c r="A306" s="245" t="s">
        <v>49</v>
      </c>
      <c r="B306" s="246"/>
      <c r="C306" s="247">
        <f>+C305/B305</f>
        <v>0.9251783415</v>
      </c>
      <c r="D306" s="247">
        <f>+D305/B305</f>
        <v>0</v>
      </c>
      <c r="E306" s="247">
        <f>+E305/B305</f>
        <v>0.003861384687</v>
      </c>
      <c r="F306" s="247"/>
      <c r="G306" s="247"/>
      <c r="H306" s="248">
        <f>+H305/B305</f>
        <v>0.05567219002</v>
      </c>
      <c r="I306" s="249">
        <f>+I305/B305</f>
        <v>0.01528808376</v>
      </c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</row>
    <row r="307" ht="19.5" customHeight="1">
      <c r="A307" s="163"/>
      <c r="B307" s="220"/>
      <c r="C307" s="250"/>
      <c r="D307" s="250"/>
      <c r="E307" s="250"/>
      <c r="F307" s="250"/>
      <c r="G307" s="250"/>
      <c r="H307" s="251"/>
      <c r="I307" s="252"/>
      <c r="J307" s="139"/>
      <c r="K307" s="139"/>
      <c r="L307" s="139"/>
      <c r="M307" s="139"/>
      <c r="N307" s="139"/>
      <c r="O307" s="139"/>
      <c r="P307" s="139"/>
      <c r="Q307" s="139"/>
      <c r="R307" s="141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</row>
    <row r="308" ht="18.75" customHeight="1">
      <c r="A308" s="253"/>
      <c r="B308" s="254"/>
      <c r="C308" s="254"/>
      <c r="D308" s="254" t="s">
        <v>50</v>
      </c>
      <c r="E308" s="254" t="s">
        <v>48</v>
      </c>
      <c r="F308" s="254"/>
      <c r="G308" s="254"/>
      <c r="H308" s="255">
        <f>+D305+E305+H305+I305</f>
        <v>2174.087992</v>
      </c>
      <c r="I308" s="256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</row>
    <row r="309" ht="18.75" customHeight="1">
      <c r="A309" s="257"/>
      <c r="B309" s="139"/>
      <c r="C309" s="139"/>
      <c r="D309" s="139"/>
      <c r="E309" s="139" t="s">
        <v>49</v>
      </c>
      <c r="F309" s="139"/>
      <c r="G309" s="139"/>
      <c r="H309" s="251">
        <f>+H308/B305</f>
        <v>0.07482165847</v>
      </c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</row>
    <row r="310" ht="18.75" customHeight="1">
      <c r="A310" s="257"/>
      <c r="B310" s="139"/>
      <c r="C310" s="139" t="s">
        <v>51</v>
      </c>
      <c r="D310" s="139"/>
      <c r="E310" s="139"/>
      <c r="F310" s="139"/>
      <c r="G310" s="139"/>
      <c r="H310" s="140"/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40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</row>
    <row r="311" ht="18.75" customHeight="1">
      <c r="A311" s="257"/>
      <c r="B311" s="139"/>
      <c r="C311" s="139"/>
      <c r="D311" s="139" t="s">
        <v>52</v>
      </c>
      <c r="E311" s="139"/>
      <c r="F311" s="139"/>
      <c r="G311" s="139"/>
      <c r="H311" s="140">
        <f>+H310*(H308-H305)</f>
        <v>0</v>
      </c>
      <c r="I311" s="258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</row>
    <row r="312" ht="19.5" customHeight="1">
      <c r="A312" s="259"/>
      <c r="B312" s="260"/>
      <c r="C312" s="260"/>
      <c r="D312" s="260"/>
      <c r="E312" s="260"/>
      <c r="F312" s="260"/>
      <c r="G312" s="260"/>
      <c r="H312" s="261"/>
      <c r="I312" s="262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41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4:E244"/>
    <mergeCell ref="C265:E265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21" width="9.14"/>
    <col customWidth="1" min="22" max="22" width="15.86"/>
    <col customWidth="1" min="23" max="30" width="9.14"/>
  </cols>
  <sheetData>
    <row r="1" ht="20.25" customHeight="1">
      <c r="A1" s="271" t="s">
        <v>53</v>
      </c>
      <c r="B1" s="272"/>
      <c r="C1" s="272"/>
      <c r="D1" s="272"/>
      <c r="E1" s="272"/>
      <c r="F1" s="272"/>
      <c r="G1" s="272"/>
      <c r="H1" s="273"/>
      <c r="I1" s="272"/>
      <c r="J1" s="274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5"/>
      <c r="B2" s="272"/>
      <c r="C2" s="272"/>
      <c r="D2" s="272"/>
      <c r="E2" s="272"/>
      <c r="F2" s="272"/>
      <c r="G2" s="272"/>
      <c r="H2" s="273"/>
      <c r="I2" s="272"/>
      <c r="J2" s="274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271" t="s">
        <v>121</v>
      </c>
      <c r="B3" s="272"/>
      <c r="C3" s="272"/>
      <c r="D3" s="272"/>
      <c r="E3" s="272"/>
      <c r="F3" s="272"/>
      <c r="G3" s="272"/>
      <c r="H3" s="273"/>
      <c r="I3" s="272"/>
      <c r="J3" s="274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2.5" customHeight="1">
      <c r="A4" s="275" t="s">
        <v>122</v>
      </c>
      <c r="B4" s="276" t="s">
        <v>123</v>
      </c>
      <c r="C4" s="272"/>
      <c r="D4" s="272"/>
      <c r="E4" s="272"/>
      <c r="F4" s="272"/>
      <c r="G4" s="272"/>
      <c r="H4" s="273"/>
      <c r="I4" s="272"/>
      <c r="J4" s="274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1.0" customHeight="1">
      <c r="A5" s="275"/>
      <c r="B5" s="272"/>
      <c r="C5" s="272"/>
      <c r="D5" s="272"/>
      <c r="E5" s="272"/>
      <c r="F5" s="272"/>
      <c r="G5" s="272"/>
      <c r="H5" s="273"/>
      <c r="I5" s="272"/>
      <c r="J5" s="274"/>
      <c r="K5" s="272"/>
      <c r="L5" s="274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61.5" customHeight="1">
      <c r="A6" s="277" t="s">
        <v>124</v>
      </c>
      <c r="B6" s="278" t="s">
        <v>125</v>
      </c>
      <c r="C6" s="279" t="s">
        <v>126</v>
      </c>
      <c r="D6" s="279" t="s">
        <v>127</v>
      </c>
      <c r="E6" s="279" t="s">
        <v>128</v>
      </c>
      <c r="F6" s="279" t="s">
        <v>129</v>
      </c>
      <c r="G6" s="280" t="s">
        <v>130</v>
      </c>
      <c r="H6" s="281" t="s">
        <v>12</v>
      </c>
      <c r="I6" s="282"/>
      <c r="J6" s="274" t="s">
        <v>131</v>
      </c>
      <c r="K6" s="272" t="s">
        <v>132</v>
      </c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26.25" customHeight="1">
      <c r="A7" s="283">
        <f>+'01-10'!I4</f>
        <v>44470</v>
      </c>
      <c r="B7" s="284">
        <f>+'01-10'!B286</f>
        <v>29571.8766</v>
      </c>
      <c r="C7" s="284">
        <f>+'01-10'!C286</f>
        <v>26142.41555</v>
      </c>
      <c r="D7" s="284">
        <f>+'01-10'!D286</f>
        <v>0</v>
      </c>
      <c r="E7" s="284">
        <f>+'01-10'!E286</f>
        <v>61.2</v>
      </c>
      <c r="F7" s="284">
        <f>+'01-10'!H286</f>
        <v>2380.536066</v>
      </c>
      <c r="G7" s="284">
        <f>+'01-10'!I286</f>
        <v>987.7249887</v>
      </c>
      <c r="H7" s="160"/>
      <c r="I7" s="285"/>
      <c r="J7" s="274">
        <v>27700.372712237393</v>
      </c>
      <c r="K7" s="286">
        <f t="shared" ref="K7:K23" si="1">+C7+E7</f>
        <v>26203.61555</v>
      </c>
      <c r="L7" s="287">
        <f t="shared" ref="L7:L24" si="2">+K7/J7</f>
        <v>0.9459661723</v>
      </c>
      <c r="M7" s="272"/>
      <c r="N7" s="287">
        <v>0.98</v>
      </c>
      <c r="O7" s="272"/>
      <c r="P7" s="287">
        <f t="shared" ref="P7:P24" si="3">+L7-$N$7</f>
        <v>-0.03403382773</v>
      </c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6.25" customHeight="1">
      <c r="A8" s="283">
        <f>+'05-10'!I4</f>
        <v>44474</v>
      </c>
      <c r="B8" s="284">
        <f>+'05-10'!B284</f>
        <v>24436.2732</v>
      </c>
      <c r="C8" s="284">
        <f>+'05-10'!C284</f>
        <v>21980.6252</v>
      </c>
      <c r="D8" s="284">
        <f>+'05-10'!D284</f>
        <v>0</v>
      </c>
      <c r="E8" s="284">
        <f>+'05-10'!E284</f>
        <v>74.4</v>
      </c>
      <c r="F8" s="284">
        <f>+'05-10'!H284</f>
        <v>1918.036262</v>
      </c>
      <c r="G8" s="284">
        <f>+'05-10'!I284</f>
        <v>463.211736</v>
      </c>
      <c r="H8" s="284" t="str">
        <f>+'05-10'!J284</f>
        <v/>
      </c>
      <c r="I8" s="284" t="str">
        <f>+'05-10'!K284</f>
        <v/>
      </c>
      <c r="J8" s="274">
        <v>22979.042819737395</v>
      </c>
      <c r="K8" s="286">
        <f t="shared" si="1"/>
        <v>22055.0252</v>
      </c>
      <c r="L8" s="287">
        <f t="shared" si="2"/>
        <v>0.9597886811</v>
      </c>
      <c r="M8" s="272"/>
      <c r="N8" s="272"/>
      <c r="O8" s="272"/>
      <c r="P8" s="287">
        <f t="shared" si="3"/>
        <v>-0.02021131885</v>
      </c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6.25" customHeight="1">
      <c r="A9" s="283">
        <f>+'08-10'!I4</f>
        <v>44477</v>
      </c>
      <c r="B9" s="284">
        <f>+'08-10'!B270</f>
        <v>27897.0617</v>
      </c>
      <c r="C9" s="284">
        <f>+'08-10'!C270</f>
        <v>24402.16893</v>
      </c>
      <c r="D9" s="284">
        <f>+'08-10'!D270</f>
        <v>0</v>
      </c>
      <c r="E9" s="284">
        <f>+'08-10'!E270</f>
        <v>262.5</v>
      </c>
      <c r="F9" s="284">
        <f>+'08-10'!H270</f>
        <v>2378.418427</v>
      </c>
      <c r="G9" s="284">
        <f>+'08-10'!I270</f>
        <v>853.9743396</v>
      </c>
      <c r="H9" s="242"/>
      <c r="I9" s="285"/>
      <c r="J9" s="274">
        <v>27130.708835976522</v>
      </c>
      <c r="K9" s="286">
        <f t="shared" si="1"/>
        <v>24664.66893</v>
      </c>
      <c r="L9" s="287">
        <f t="shared" si="2"/>
        <v>0.9091052166</v>
      </c>
      <c r="M9" s="272"/>
      <c r="N9" s="272"/>
      <c r="O9" s="272"/>
      <c r="P9" s="287">
        <f t="shared" si="3"/>
        <v>-0.07089478336</v>
      </c>
      <c r="Q9" s="272"/>
      <c r="R9" s="287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6.25" customHeight="1">
      <c r="A10" s="283">
        <f>+'11-10'!I4</f>
        <v>44480</v>
      </c>
      <c r="B10" s="284">
        <f>+'11-10'!B277</f>
        <v>13063.4451</v>
      </c>
      <c r="C10" s="284">
        <f>+'11-10'!C277</f>
        <v>12083.80943</v>
      </c>
      <c r="D10" s="284">
        <f>+'11-10'!D277</f>
        <v>0</v>
      </c>
      <c r="E10" s="284">
        <f>+'11-10'!E277</f>
        <v>68.4</v>
      </c>
      <c r="F10" s="284">
        <f>+'11-10'!H277</f>
        <v>946.1549161</v>
      </c>
      <c r="G10" s="284">
        <f>+'11-10'!I277</f>
        <v>-34.91925009</v>
      </c>
      <c r="H10" s="154"/>
      <c r="I10" s="285"/>
      <c r="J10" s="274">
        <v>12782.22797823843</v>
      </c>
      <c r="K10" s="286">
        <f t="shared" si="1"/>
        <v>12152.20943</v>
      </c>
      <c r="L10" s="287">
        <f t="shared" si="2"/>
        <v>0.950711367</v>
      </c>
      <c r="M10" s="272"/>
      <c r="N10" s="272"/>
      <c r="O10" s="272"/>
      <c r="P10" s="287">
        <f t="shared" si="3"/>
        <v>-0.02928863304</v>
      </c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6.25" customHeight="1">
      <c r="A11" s="283">
        <f>+'13-10'!I4</f>
        <v>44482</v>
      </c>
      <c r="B11" s="284">
        <f>+'13-10'!B260</f>
        <v>17103.7926</v>
      </c>
      <c r="C11" s="284">
        <f>+'13-10'!C260</f>
        <v>14815.61189</v>
      </c>
      <c r="D11" s="284">
        <f>+'13-10'!D260</f>
        <v>0</v>
      </c>
      <c r="E11" s="284">
        <f>+'13-10'!E260</f>
        <v>208.8</v>
      </c>
      <c r="F11" s="284">
        <f>+'13-10'!H260</f>
        <v>1322.896902</v>
      </c>
      <c r="G11" s="284">
        <f>+'13-10'!I260</f>
        <v>756.483805</v>
      </c>
      <c r="H11" s="192"/>
      <c r="I11" s="285"/>
      <c r="J11" s="274">
        <v>16014.31643652001</v>
      </c>
      <c r="K11" s="286">
        <f t="shared" si="1"/>
        <v>15024.41189</v>
      </c>
      <c r="L11" s="287">
        <f t="shared" si="2"/>
        <v>0.9381862755</v>
      </c>
      <c r="M11" s="272"/>
      <c r="N11" s="272"/>
      <c r="O11" s="272"/>
      <c r="P11" s="287">
        <f t="shared" si="3"/>
        <v>-0.04181372445</v>
      </c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6.25" customHeight="1">
      <c r="A12" s="283">
        <f>+'14-10'!I4</f>
        <v>44483</v>
      </c>
      <c r="B12" s="284">
        <f>+'14-10'!B285</f>
        <v>29139.1067</v>
      </c>
      <c r="C12" s="284">
        <f>+'14-10'!C285</f>
        <v>27051.12558</v>
      </c>
      <c r="D12" s="284">
        <f>+'14-10'!D285</f>
        <v>0</v>
      </c>
      <c r="E12" s="284">
        <f>+'14-10'!E285</f>
        <v>207.6</v>
      </c>
      <c r="F12" s="284">
        <f>+'14-10'!H285</f>
        <v>1934.668467</v>
      </c>
      <c r="G12" s="284">
        <f>+'14-10'!I285</f>
        <v>-54.28735136</v>
      </c>
      <c r="H12" s="192"/>
      <c r="I12" s="285"/>
      <c r="J12" s="274">
        <v>27656.583178308825</v>
      </c>
      <c r="K12" s="286">
        <f t="shared" si="1"/>
        <v>27258.72558</v>
      </c>
      <c r="L12" s="287">
        <f t="shared" si="2"/>
        <v>0.985614362</v>
      </c>
      <c r="M12" s="272"/>
      <c r="N12" s="272"/>
      <c r="O12" s="272"/>
      <c r="P12" s="287">
        <f t="shared" si="3"/>
        <v>0.005614361986</v>
      </c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6.25" customHeight="1">
      <c r="A13" s="283">
        <f>+'15-10'!I4</f>
        <v>44484</v>
      </c>
      <c r="B13" s="284">
        <f>+'15-10'!B290</f>
        <v>25127.5583</v>
      </c>
      <c r="C13" s="284">
        <f>+'15-10'!C290</f>
        <v>22934.78424</v>
      </c>
      <c r="D13" s="284">
        <f>+'15-10'!D290</f>
        <v>0</v>
      </c>
      <c r="E13" s="284">
        <f>+'15-10'!E290</f>
        <v>94.2</v>
      </c>
      <c r="F13" s="284">
        <f>+'15-10'!H290</f>
        <v>2276.860659</v>
      </c>
      <c r="G13" s="284">
        <f>+'15-10'!I290</f>
        <v>-178.2865967</v>
      </c>
      <c r="H13" s="284" t="str">
        <f t="shared" ref="H13:I13" si="4">+#REF!</f>
        <v>#REF!</v>
      </c>
      <c r="I13" s="284" t="str">
        <f t="shared" si="4"/>
        <v>#REF!</v>
      </c>
      <c r="J13" s="274">
        <v>23288.580412237403</v>
      </c>
      <c r="K13" s="286">
        <f t="shared" si="1"/>
        <v>23028.98424</v>
      </c>
      <c r="L13" s="287">
        <f t="shared" si="2"/>
        <v>0.9888530701</v>
      </c>
      <c r="M13" s="272"/>
      <c r="N13" s="272"/>
      <c r="O13" s="272"/>
      <c r="P13" s="287">
        <f t="shared" si="3"/>
        <v>0.008853070061</v>
      </c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</row>
    <row r="14" ht="26.25" customHeight="1">
      <c r="A14" s="283">
        <f>+'16-10'!I4</f>
        <v>44485</v>
      </c>
      <c r="B14" s="284">
        <f>+'16-10'!B310</f>
        <v>46811.4148</v>
      </c>
      <c r="C14" s="284">
        <f>+'16-10'!C310</f>
        <v>38437.22167</v>
      </c>
      <c r="D14" s="284">
        <f>+'16-10'!D310</f>
        <v>0</v>
      </c>
      <c r="E14" s="284">
        <f>+'16-10'!E310</f>
        <v>244.8</v>
      </c>
      <c r="F14" s="284">
        <f>+'16-10'!H310</f>
        <v>3218.349179</v>
      </c>
      <c r="G14" s="284">
        <f>+'16-10'!I310</f>
        <v>4911.043949</v>
      </c>
      <c r="H14" s="288"/>
      <c r="I14" s="285"/>
      <c r="J14" s="274">
        <v>41744.3934122374</v>
      </c>
      <c r="K14" s="286">
        <f t="shared" si="1"/>
        <v>38682.02167</v>
      </c>
      <c r="L14" s="287">
        <f t="shared" si="2"/>
        <v>0.9266399272</v>
      </c>
      <c r="M14" s="272"/>
      <c r="N14" s="272"/>
      <c r="O14" s="272"/>
      <c r="P14" s="287">
        <f t="shared" si="3"/>
        <v>-0.05336007281</v>
      </c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6.25" customHeight="1">
      <c r="A15" s="283">
        <f>+'18-10'!I4</f>
        <v>44487</v>
      </c>
      <c r="B15" s="284">
        <f>+'18-10'!B128</f>
        <v>38792.0016</v>
      </c>
      <c r="C15" s="284">
        <f>+'18-10'!C128</f>
        <v>34357.13834</v>
      </c>
      <c r="D15" s="284">
        <f>+'18-10'!D128</f>
        <v>0</v>
      </c>
      <c r="E15" s="284">
        <f>+'18-10'!E128</f>
        <v>206.4</v>
      </c>
      <c r="F15" s="284">
        <f>+'18-10'!H128</f>
        <v>3209.832538</v>
      </c>
      <c r="G15" s="284">
        <f>+'18-10'!I128</f>
        <v>1018.630718</v>
      </c>
      <c r="H15" s="288"/>
      <c r="I15" s="285"/>
      <c r="J15" s="274">
        <v>37364.70239080883</v>
      </c>
      <c r="K15" s="286">
        <f t="shared" si="1"/>
        <v>34563.53834</v>
      </c>
      <c r="L15" s="287">
        <f t="shared" si="2"/>
        <v>0.9250318116</v>
      </c>
      <c r="M15" s="272"/>
      <c r="N15" s="272"/>
      <c r="O15" s="272"/>
      <c r="P15" s="287">
        <f t="shared" si="3"/>
        <v>-0.05496818837</v>
      </c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6.25" customHeight="1">
      <c r="A16" s="283">
        <f>+'19-10'!I4</f>
        <v>44488</v>
      </c>
      <c r="B16" s="284">
        <f>+'19-10'!B310</f>
        <v>31555.9676</v>
      </c>
      <c r="C16" s="284">
        <f>+'19-10'!C310</f>
        <v>818.289475</v>
      </c>
      <c r="D16" s="284">
        <f>+'19-10'!D310</f>
        <v>0</v>
      </c>
      <c r="E16" s="284">
        <f>+'19-10'!E310</f>
        <v>180.6</v>
      </c>
      <c r="F16" s="284">
        <f>+'19-10'!H310</f>
        <v>2563.616784</v>
      </c>
      <c r="G16" s="284">
        <f>+'19-10'!I310</f>
        <v>27993.46134</v>
      </c>
      <c r="H16" s="288"/>
      <c r="I16" s="285"/>
      <c r="J16" s="274">
        <v>29327.7814722374</v>
      </c>
      <c r="K16" s="286">
        <f t="shared" si="1"/>
        <v>998.889475</v>
      </c>
      <c r="L16" s="287">
        <f t="shared" si="2"/>
        <v>0.03405949666</v>
      </c>
      <c r="M16" s="272"/>
      <c r="N16" s="272"/>
      <c r="O16" s="272"/>
      <c r="P16" s="287">
        <f t="shared" si="3"/>
        <v>-0.9459405033</v>
      </c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6.25" customHeight="1">
      <c r="A17" s="283">
        <f>+'21-10'!I4</f>
        <v>44490</v>
      </c>
      <c r="B17" s="284">
        <f>+'21-10'!B152</f>
        <v>46455.7484</v>
      </c>
      <c r="C17" s="284">
        <f>+'21-10'!C152</f>
        <v>40703.4947</v>
      </c>
      <c r="D17" s="284">
        <f>+'21-10'!D152</f>
        <v>0</v>
      </c>
      <c r="E17" s="284">
        <f>+'21-10'!E152</f>
        <v>258.6</v>
      </c>
      <c r="F17" s="284">
        <f>+'21-10'!H152</f>
        <v>3517.871898</v>
      </c>
      <c r="G17" s="284">
        <f>+'21-10'!I152</f>
        <v>1975.781802</v>
      </c>
      <c r="H17" s="288"/>
      <c r="I17" s="285"/>
      <c r="J17" s="274">
        <v>43461.54223223742</v>
      </c>
      <c r="K17" s="286">
        <f t="shared" si="1"/>
        <v>40962.0947</v>
      </c>
      <c r="L17" s="287">
        <f t="shared" si="2"/>
        <v>0.9424905927</v>
      </c>
      <c r="M17" s="272"/>
      <c r="N17" s="272"/>
      <c r="O17" s="272"/>
      <c r="P17" s="287">
        <f t="shared" si="3"/>
        <v>-0.03750940726</v>
      </c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6.25" customHeight="1">
      <c r="A18" s="283">
        <f>+'22-10'!I4</f>
        <v>44491</v>
      </c>
      <c r="B18" s="284">
        <f>+'22-10'!B136</f>
        <v>22070.643</v>
      </c>
      <c r="C18" s="284">
        <f>+'22-10'!C136</f>
        <v>19308.82985</v>
      </c>
      <c r="D18" s="284">
        <f>+'22-10'!D136</f>
        <v>0</v>
      </c>
      <c r="E18" s="284">
        <f>+'22-10'!E136</f>
        <v>168.6</v>
      </c>
      <c r="F18" s="284">
        <f>+'22-10'!H136</f>
        <v>1873.574522</v>
      </c>
      <c r="G18" s="284">
        <f>+'22-10'!I136</f>
        <v>719.6386305</v>
      </c>
      <c r="H18" s="288"/>
      <c r="I18" s="285"/>
      <c r="J18" s="274">
        <v>20604.012722237392</v>
      </c>
      <c r="K18" s="286">
        <f t="shared" si="1"/>
        <v>19477.42985</v>
      </c>
      <c r="L18" s="287">
        <f t="shared" si="2"/>
        <v>0.9453221618</v>
      </c>
      <c r="M18" s="272"/>
      <c r="N18" s="272"/>
      <c r="O18" s="272"/>
      <c r="P18" s="287">
        <f t="shared" si="3"/>
        <v>-0.03467783822</v>
      </c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6.25" customHeight="1">
      <c r="A19" s="283">
        <f>+'23-10'!I4</f>
        <v>44492</v>
      </c>
      <c r="B19" s="284">
        <f>+'23-10'!B273</f>
        <v>4056.858</v>
      </c>
      <c r="C19" s="284">
        <f>+'23-10'!C273</f>
        <v>3541.854918</v>
      </c>
      <c r="D19" s="284">
        <f>+'23-10'!D273</f>
        <v>0</v>
      </c>
      <c r="E19" s="284">
        <f>+'23-10'!E273</f>
        <v>68.4</v>
      </c>
      <c r="F19" s="284">
        <f>+'23-10'!H273</f>
        <v>234.1526054</v>
      </c>
      <c r="G19" s="284">
        <f>+'23-10'!I273</f>
        <v>212.4504771</v>
      </c>
      <c r="H19" s="192"/>
      <c r="I19" s="285"/>
      <c r="J19" s="274">
        <v>3955.583973058824</v>
      </c>
      <c r="K19" s="286">
        <f t="shared" si="1"/>
        <v>3610.254918</v>
      </c>
      <c r="L19" s="287">
        <f t="shared" si="2"/>
        <v>0.9126983379</v>
      </c>
      <c r="M19" s="272"/>
      <c r="N19" s="272"/>
      <c r="O19" s="272"/>
      <c r="P19" s="287">
        <f t="shared" si="3"/>
        <v>-0.06730166213</v>
      </c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6.25" customHeight="1">
      <c r="A20" s="283">
        <f>+'25-10'!I4</f>
        <v>44494</v>
      </c>
      <c r="B20" s="284">
        <f>+'25-10'!B304</f>
        <v>34921.967</v>
      </c>
      <c r="C20" s="284">
        <f>+'25-10'!C304</f>
        <v>30852.42275</v>
      </c>
      <c r="D20" s="284">
        <f>+'25-10'!D304</f>
        <v>0</v>
      </c>
      <c r="E20" s="284">
        <f>+'25-10'!E304</f>
        <v>185.4</v>
      </c>
      <c r="F20" s="284">
        <f>+'25-10'!H304</f>
        <v>2306.091097</v>
      </c>
      <c r="G20" s="284">
        <f>+'25-10'!I304</f>
        <v>1578.053158</v>
      </c>
      <c r="H20" s="192"/>
      <c r="I20" s="285"/>
      <c r="J20" s="274">
        <v>33332.12332973739</v>
      </c>
      <c r="K20" s="286">
        <f t="shared" si="1"/>
        <v>31037.82275</v>
      </c>
      <c r="L20" s="287">
        <f t="shared" si="2"/>
        <v>0.9311684839</v>
      </c>
      <c r="M20" s="272"/>
      <c r="N20" s="272"/>
      <c r="O20" s="272"/>
      <c r="P20" s="287">
        <f t="shared" si="3"/>
        <v>-0.04883151612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6.25" customHeight="1">
      <c r="A21" s="283">
        <f>+'26-10'!I4</f>
        <v>44495</v>
      </c>
      <c r="B21" s="289">
        <f>+'26-10'!B290</f>
        <v>17735.62872</v>
      </c>
      <c r="C21" s="289">
        <f>+'26-10'!C290</f>
        <v>15473.20758</v>
      </c>
      <c r="D21" s="289">
        <f>+'26-10'!D290</f>
        <v>0</v>
      </c>
      <c r="E21" s="289">
        <f>+'26-10'!E290</f>
        <v>174.6</v>
      </c>
      <c r="F21" s="289">
        <f>+'26-10'!H290</f>
        <v>1307.115837</v>
      </c>
      <c r="G21" s="289">
        <f>+'26-10'!I290</f>
        <v>780.7053053</v>
      </c>
      <c r="H21" s="290"/>
      <c r="I21" s="285"/>
      <c r="J21" s="274">
        <v>16662.096696237393</v>
      </c>
      <c r="K21" s="286">
        <f t="shared" si="1"/>
        <v>15647.80758</v>
      </c>
      <c r="L21" s="287">
        <f t="shared" si="2"/>
        <v>0.9391259614</v>
      </c>
      <c r="M21" s="272"/>
      <c r="N21" s="272"/>
      <c r="O21" s="272"/>
      <c r="P21" s="287">
        <f t="shared" si="3"/>
        <v>-0.04087403865</v>
      </c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6.25" customHeight="1">
      <c r="A22" s="283">
        <f>+'28-10'!I4</f>
        <v>44497</v>
      </c>
      <c r="B22" s="289">
        <f>+'28-10'!B304</f>
        <v>32177.423</v>
      </c>
      <c r="C22" s="289">
        <f>+'28-10'!C304</f>
        <v>28739.91616</v>
      </c>
      <c r="D22" s="289">
        <f>+'28-10'!D304</f>
        <v>0</v>
      </c>
      <c r="E22" s="289">
        <f>+'28-10'!E304</f>
        <v>107.4</v>
      </c>
      <c r="F22" s="289">
        <f>+'28-10'!H304</f>
        <v>2287.966905</v>
      </c>
      <c r="G22" s="289">
        <f>+'28-10'!I304</f>
        <v>1042.139937</v>
      </c>
      <c r="H22" s="290"/>
      <c r="I22" s="285"/>
      <c r="J22" s="274">
        <v>31136.932575070725</v>
      </c>
      <c r="K22" s="286">
        <f t="shared" si="1"/>
        <v>28847.31616</v>
      </c>
      <c r="L22" s="287">
        <f t="shared" si="2"/>
        <v>0.9264662179</v>
      </c>
      <c r="M22" s="272"/>
      <c r="N22" s="272"/>
      <c r="O22" s="272"/>
      <c r="P22" s="287">
        <f t="shared" si="3"/>
        <v>-0.05353378214</v>
      </c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6.25" customHeight="1">
      <c r="A23" s="283">
        <f>+'29-10'!I4</f>
        <v>44498</v>
      </c>
      <c r="B23" s="289">
        <f>+'29-10'!B305</f>
        <v>29056.934</v>
      </c>
      <c r="C23" s="289">
        <f>+'29-10'!C305</f>
        <v>26882.84601</v>
      </c>
      <c r="D23" s="289">
        <f>+'29-10'!D305</f>
        <v>0</v>
      </c>
      <c r="E23" s="289">
        <f>+'29-10'!E305</f>
        <v>112.2</v>
      </c>
      <c r="F23" s="289">
        <f>+'29-10'!H305</f>
        <v>1617.663151</v>
      </c>
      <c r="G23" s="289">
        <f>+'29-10'!I305</f>
        <v>444.2248409</v>
      </c>
      <c r="H23" s="192"/>
      <c r="I23" s="285"/>
      <c r="J23" s="274">
        <v>27754.31910114213</v>
      </c>
      <c r="K23" s="286">
        <f t="shared" si="1"/>
        <v>26995.04601</v>
      </c>
      <c r="L23" s="287">
        <f t="shared" si="2"/>
        <v>0.9726430654</v>
      </c>
      <c r="M23" s="272"/>
      <c r="N23" s="272"/>
      <c r="O23" s="272"/>
      <c r="P23" s="287">
        <f t="shared" si="3"/>
        <v>-0.007356934623</v>
      </c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6.25" customHeight="1">
      <c r="A24" s="283"/>
      <c r="B24" s="289"/>
      <c r="C24" s="289"/>
      <c r="D24" s="289"/>
      <c r="E24" s="289"/>
      <c r="F24" s="289"/>
      <c r="G24" s="289"/>
      <c r="H24" s="192"/>
      <c r="I24" s="285"/>
      <c r="J24" s="291">
        <f t="shared" ref="J24:K24" si="5">+SUM(J7:J23)</f>
        <v>442895.3203</v>
      </c>
      <c r="K24" s="292">
        <f t="shared" si="5"/>
        <v>391209.8623</v>
      </c>
      <c r="L24" s="287">
        <f t="shared" si="2"/>
        <v>0.8833009616</v>
      </c>
      <c r="M24" s="272"/>
      <c r="N24" s="272"/>
      <c r="O24" s="272"/>
      <c r="P24" s="287">
        <f t="shared" si="3"/>
        <v>-0.09669903843</v>
      </c>
      <c r="Q24" s="272"/>
      <c r="R24" s="272"/>
      <c r="S24" s="272"/>
      <c r="T24" s="272"/>
      <c r="U24" s="272"/>
      <c r="V24" s="274"/>
      <c r="W24" s="272"/>
      <c r="X24" s="272"/>
      <c r="Y24" s="272"/>
      <c r="Z24" s="272"/>
      <c r="AA24" s="272"/>
      <c r="AB24" s="272"/>
      <c r="AC24" s="272"/>
      <c r="AD24" s="272"/>
    </row>
    <row r="25" ht="26.25" customHeight="1">
      <c r="A25" s="283"/>
      <c r="B25" s="289"/>
      <c r="C25" s="289"/>
      <c r="D25" s="289"/>
      <c r="E25" s="289"/>
      <c r="F25" s="289"/>
      <c r="G25" s="289"/>
      <c r="H25" s="192"/>
      <c r="I25" s="285"/>
      <c r="J25" s="274"/>
      <c r="K25" s="274"/>
      <c r="L25" s="287"/>
      <c r="M25" s="272"/>
      <c r="N25" s="272"/>
      <c r="O25" s="272"/>
      <c r="P25" s="287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</row>
    <row r="26" ht="26.25" customHeight="1">
      <c r="A26" s="283"/>
      <c r="B26" s="289"/>
      <c r="C26" s="289"/>
      <c r="D26" s="289"/>
      <c r="E26" s="289"/>
      <c r="F26" s="289"/>
      <c r="G26" s="289"/>
      <c r="H26" s="192"/>
      <c r="I26" s="285"/>
      <c r="J26" s="274"/>
      <c r="K26" s="274"/>
      <c r="L26" s="287"/>
      <c r="M26" s="272"/>
      <c r="N26" s="272"/>
      <c r="O26" s="272"/>
      <c r="P26" s="287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6.25" customHeight="1">
      <c r="A27" s="283"/>
      <c r="B27" s="289"/>
      <c r="C27" s="289"/>
      <c r="D27" s="289"/>
      <c r="E27" s="289"/>
      <c r="F27" s="289"/>
      <c r="G27" s="289"/>
      <c r="H27" s="192"/>
      <c r="I27" s="285"/>
      <c r="J27" s="274"/>
      <c r="K27" s="274"/>
      <c r="L27" s="287"/>
      <c r="M27" s="272"/>
      <c r="N27" s="272"/>
      <c r="O27" s="272"/>
      <c r="P27" s="287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6.25" customHeight="1">
      <c r="A28" s="283"/>
      <c r="B28" s="289"/>
      <c r="C28" s="289"/>
      <c r="D28" s="289"/>
      <c r="E28" s="289"/>
      <c r="F28" s="289"/>
      <c r="G28" s="289"/>
      <c r="H28" s="293"/>
      <c r="I28" s="285"/>
      <c r="J28" s="274"/>
      <c r="K28" s="274"/>
      <c r="L28" s="287"/>
      <c r="M28" s="272"/>
      <c r="N28" s="272"/>
      <c r="O28" s="272"/>
      <c r="P28" s="287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6.25" customHeight="1">
      <c r="A29" s="283"/>
      <c r="B29" s="289"/>
      <c r="C29" s="289"/>
      <c r="D29" s="289"/>
      <c r="E29" s="289"/>
      <c r="F29" s="289"/>
      <c r="G29" s="289"/>
      <c r="H29" s="192"/>
      <c r="I29" s="285"/>
      <c r="J29" s="274"/>
      <c r="K29" s="274"/>
      <c r="L29" s="287"/>
      <c r="M29" s="272"/>
      <c r="N29" s="272"/>
      <c r="O29" s="272"/>
      <c r="P29" s="287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6.25" customHeight="1">
      <c r="A30" s="283"/>
      <c r="B30" s="289"/>
      <c r="C30" s="289"/>
      <c r="D30" s="289"/>
      <c r="E30" s="289"/>
      <c r="F30" s="289"/>
      <c r="G30" s="289"/>
      <c r="H30" s="192"/>
      <c r="I30" s="285"/>
      <c r="J30" s="274"/>
      <c r="K30" s="274"/>
      <c r="L30" s="287"/>
      <c r="M30" s="272"/>
      <c r="N30" s="272"/>
      <c r="O30" s="272"/>
      <c r="P30" s="287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6.25" customHeight="1">
      <c r="A31" s="283"/>
      <c r="B31" s="289"/>
      <c r="C31" s="289"/>
      <c r="D31" s="289"/>
      <c r="E31" s="289"/>
      <c r="F31" s="289"/>
      <c r="G31" s="289"/>
      <c r="H31" s="148"/>
      <c r="I31" s="285"/>
      <c r="J31" s="274"/>
      <c r="K31" s="274"/>
      <c r="L31" s="287"/>
      <c r="M31" s="272"/>
      <c r="N31" s="272"/>
      <c r="O31" s="272"/>
      <c r="P31" s="287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6.25" customHeight="1">
      <c r="A32" s="283"/>
      <c r="B32" s="289"/>
      <c r="C32" s="289"/>
      <c r="D32" s="289"/>
      <c r="E32" s="289"/>
      <c r="F32" s="289"/>
      <c r="G32" s="289"/>
      <c r="H32" s="293"/>
      <c r="I32" s="285"/>
      <c r="J32" s="274"/>
      <c r="K32" s="274"/>
      <c r="L32" s="287"/>
      <c r="M32" s="272"/>
      <c r="N32" s="272"/>
      <c r="O32" s="272"/>
      <c r="P32" s="287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6.25" customHeight="1">
      <c r="A33" s="283"/>
      <c r="B33" s="289"/>
      <c r="C33" s="294"/>
      <c r="D33" s="294"/>
      <c r="E33" s="294"/>
      <c r="F33" s="294"/>
      <c r="G33" s="294"/>
      <c r="H33" s="293"/>
      <c r="I33" s="285"/>
      <c r="J33" s="274"/>
      <c r="K33" s="274"/>
      <c r="L33" s="287"/>
      <c r="M33" s="272"/>
      <c r="N33" s="272"/>
      <c r="O33" s="272"/>
      <c r="P33" s="287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6.25" customHeight="1">
      <c r="A34" s="283"/>
      <c r="B34" s="289"/>
      <c r="C34" s="294"/>
      <c r="D34" s="294"/>
      <c r="E34" s="294"/>
      <c r="F34" s="294"/>
      <c r="G34" s="294"/>
      <c r="H34" s="295"/>
      <c r="I34" s="296"/>
      <c r="J34" s="274"/>
      <c r="K34" s="274"/>
      <c r="L34" s="287"/>
      <c r="M34" s="272"/>
      <c r="N34" s="272"/>
      <c r="O34" s="272"/>
      <c r="P34" s="287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6.25" customHeight="1">
      <c r="A35" s="283"/>
      <c r="B35" s="289"/>
      <c r="C35" s="294"/>
      <c r="D35" s="294"/>
      <c r="E35" s="294"/>
      <c r="F35" s="294"/>
      <c r="G35" s="294"/>
      <c r="H35" s="295"/>
      <c r="I35" s="296"/>
      <c r="J35" s="274"/>
      <c r="K35" s="274"/>
      <c r="L35" s="287"/>
      <c r="M35" s="272"/>
      <c r="N35" s="272"/>
      <c r="O35" s="272"/>
      <c r="P35" s="287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9.25" customHeight="1">
      <c r="A36" s="297" t="s">
        <v>133</v>
      </c>
      <c r="B36" s="298">
        <f t="shared" ref="B36:G36" si="6">SUM(B7:B35)</f>
        <v>469973.7003</v>
      </c>
      <c r="C36" s="298">
        <f t="shared" si="6"/>
        <v>388525.7623</v>
      </c>
      <c r="D36" s="298">
        <f t="shared" si="6"/>
        <v>0</v>
      </c>
      <c r="E36" s="298">
        <f t="shared" si="6"/>
        <v>2684.1</v>
      </c>
      <c r="F36" s="298">
        <f t="shared" si="6"/>
        <v>35293.80621</v>
      </c>
      <c r="G36" s="298">
        <f t="shared" si="6"/>
        <v>43470.03183</v>
      </c>
      <c r="H36" s="295"/>
      <c r="I36" s="299"/>
      <c r="J36" s="274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4.75" customHeight="1">
      <c r="A37" s="300" t="s">
        <v>49</v>
      </c>
      <c r="B37" s="301"/>
      <c r="C37" s="302">
        <f>+C36/B36</f>
        <v>0.8266968173</v>
      </c>
      <c r="D37" s="303">
        <f>+D36/B36</f>
        <v>0</v>
      </c>
      <c r="E37" s="303">
        <f>+E36/B36</f>
        <v>0.005711170642</v>
      </c>
      <c r="F37" s="302">
        <f>+F36/B36</f>
        <v>0.07509740692</v>
      </c>
      <c r="G37" s="303">
        <f>+G36/B36</f>
        <v>0.09249460512</v>
      </c>
      <c r="H37" s="295"/>
      <c r="I37" s="272"/>
      <c r="J37" s="274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24.0" customHeight="1">
      <c r="A38" s="304" t="s">
        <v>134</v>
      </c>
      <c r="B38" s="305"/>
      <c r="C38" s="306"/>
      <c r="D38" s="307">
        <v>0.0053</v>
      </c>
      <c r="E38" s="307">
        <v>0.0084</v>
      </c>
      <c r="F38" s="306"/>
      <c r="G38" s="308">
        <v>0.0061</v>
      </c>
      <c r="H38" s="295"/>
      <c r="I38" s="272"/>
      <c r="J38" s="274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0" customHeight="1">
      <c r="A39" s="309"/>
      <c r="B39" s="310"/>
      <c r="C39" s="272"/>
      <c r="D39" s="272"/>
      <c r="E39" s="272"/>
      <c r="F39" s="272"/>
      <c r="G39" s="310"/>
      <c r="H39" s="311"/>
      <c r="I39" s="272"/>
      <c r="J39" s="27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23.25" customHeight="1">
      <c r="A40" s="312"/>
      <c r="B40" s="272"/>
      <c r="C40" s="272"/>
      <c r="D40" s="272" t="s">
        <v>135</v>
      </c>
      <c r="E40" s="272"/>
      <c r="F40" s="313">
        <f>+D36+E36+F36+G36</f>
        <v>81447.93804</v>
      </c>
      <c r="G40" s="272"/>
      <c r="H40" s="314"/>
      <c r="I40" s="272"/>
      <c r="J40" s="274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20.25" customHeight="1">
      <c r="A41" s="312"/>
      <c r="B41" s="272"/>
      <c r="C41" s="272"/>
      <c r="D41" s="272" t="s">
        <v>136</v>
      </c>
      <c r="E41" s="272"/>
      <c r="F41" s="315">
        <f>+F40/B36</f>
        <v>0.1733031827</v>
      </c>
      <c r="G41" s="272"/>
      <c r="H41" s="285"/>
      <c r="I41" s="272"/>
      <c r="J41" s="274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312"/>
      <c r="B42" s="272"/>
      <c r="C42" s="272"/>
      <c r="D42" s="272" t="s">
        <v>137</v>
      </c>
      <c r="E42" s="272"/>
      <c r="F42" s="315">
        <f t="shared" ref="F42:F43" si="7">+D37+E37+G37</f>
        <v>0.09820577577</v>
      </c>
      <c r="G42" s="272"/>
      <c r="H42" s="285"/>
      <c r="I42" s="272"/>
      <c r="J42" s="274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312"/>
      <c r="B43" s="272"/>
      <c r="C43" s="305" t="s">
        <v>138</v>
      </c>
      <c r="D43" s="305"/>
      <c r="E43" s="305"/>
      <c r="F43" s="308">
        <f t="shared" si="7"/>
        <v>0.0198</v>
      </c>
      <c r="G43" s="272"/>
      <c r="H43" s="316"/>
      <c r="I43" s="272"/>
      <c r="J43" s="274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312" t="s">
        <v>139</v>
      </c>
      <c r="B44" s="272"/>
      <c r="C44" s="272"/>
      <c r="D44" s="317">
        <v>9.0</v>
      </c>
      <c r="E44" s="272"/>
      <c r="F44" s="272"/>
      <c r="G44" s="272"/>
      <c r="H44" s="316"/>
      <c r="I44" s="272"/>
      <c r="J44" s="274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312"/>
      <c r="B45" s="272"/>
      <c r="C45" s="272" t="s">
        <v>140</v>
      </c>
      <c r="D45" s="318">
        <f t="shared" ref="D45:E45" si="8">+$D$44*D36</f>
        <v>0</v>
      </c>
      <c r="E45" s="318">
        <f t="shared" si="8"/>
        <v>24156.9</v>
      </c>
      <c r="F45" s="318"/>
      <c r="G45" s="318">
        <f>+$D$44*G36</f>
        <v>391230.2865</v>
      </c>
      <c r="H45" s="316"/>
      <c r="I45" s="272"/>
      <c r="J45" s="274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1.0" customHeight="1">
      <c r="A46" s="319"/>
      <c r="B46" s="320"/>
      <c r="C46" s="320"/>
      <c r="D46" s="320"/>
      <c r="E46" s="320"/>
      <c r="F46" s="320"/>
      <c r="G46" s="320"/>
      <c r="H46" s="321"/>
      <c r="I46" s="272"/>
      <c r="J46" s="274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0.25" customHeight="1">
      <c r="A47" s="275"/>
      <c r="B47" s="272"/>
      <c r="C47" s="272"/>
      <c r="D47" s="272"/>
      <c r="E47" s="272"/>
      <c r="F47" s="272"/>
      <c r="G47" s="272"/>
      <c r="H47" s="273"/>
      <c r="I47" s="272"/>
      <c r="J47" s="274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5"/>
      <c r="B48" s="272"/>
      <c r="C48" s="272"/>
      <c r="D48" s="272"/>
      <c r="E48" s="272"/>
      <c r="F48" s="322"/>
      <c r="G48" s="272"/>
      <c r="H48" s="273"/>
      <c r="I48" s="272"/>
      <c r="J48" s="274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5"/>
      <c r="B49" s="272"/>
      <c r="C49" s="272"/>
      <c r="D49" s="272"/>
      <c r="E49" s="322"/>
      <c r="F49" s="272"/>
      <c r="G49" s="272"/>
      <c r="H49" s="273"/>
      <c r="I49" s="272"/>
      <c r="J49" s="274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1.75" customHeight="1">
      <c r="A50" s="275"/>
      <c r="B50" s="272"/>
      <c r="C50" s="272"/>
      <c r="D50" s="323" t="s">
        <v>31</v>
      </c>
      <c r="E50" s="324" t="str">
        <f t="shared" ref="E50:E51" si="9">+#REF!+#REF!+#REF!+#REF!+#REF!+#REF!+#REF!+#REF!+#REF!+#REF!+#REF!+#REF!+#REF!+#REF!+#REF!+#REF!+#REF!+#REF!+#REF!+#REF!+#REF!+#REF!+#REF!+#REF!+#REF!+#REF!+#REF!+#REF!</f>
        <v>#REF!</v>
      </c>
      <c r="F50" s="272"/>
      <c r="G50" s="272"/>
      <c r="H50" s="273"/>
      <c r="I50" s="272"/>
      <c r="J50" s="274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1.75" customHeight="1">
      <c r="A51" s="275"/>
      <c r="B51" s="272"/>
      <c r="C51" s="272"/>
      <c r="D51" s="323" t="s">
        <v>34</v>
      </c>
      <c r="E51" s="324" t="str">
        <f t="shared" si="9"/>
        <v>#REF!</v>
      </c>
      <c r="F51" s="272"/>
      <c r="G51" s="272"/>
      <c r="H51" s="273"/>
      <c r="I51" s="272"/>
      <c r="J51" s="274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5"/>
      <c r="B52" s="272"/>
      <c r="C52" s="272"/>
      <c r="D52" s="272"/>
      <c r="E52" s="325" t="str">
        <f>SUM(E50:E51)</f>
        <v>#REF!</v>
      </c>
      <c r="F52" s="272"/>
      <c r="G52" s="272"/>
      <c r="H52" s="273"/>
      <c r="I52" s="272"/>
      <c r="J52" s="274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5"/>
      <c r="B53" s="272"/>
      <c r="C53" s="272"/>
      <c r="D53" s="272"/>
      <c r="E53" s="272"/>
      <c r="F53" s="272"/>
      <c r="G53" s="272"/>
      <c r="H53" s="273"/>
      <c r="I53" s="272"/>
      <c r="J53" s="274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5"/>
      <c r="B54" s="272"/>
      <c r="C54" s="272"/>
      <c r="D54" s="272"/>
      <c r="E54" s="272"/>
      <c r="F54" s="272"/>
      <c r="G54" s="272"/>
      <c r="H54" s="273"/>
      <c r="I54" s="272"/>
      <c r="J54" s="274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5"/>
      <c r="B55" s="272">
        <v>28677.54271223739</v>
      </c>
      <c r="C55" s="272">
        <v>23718.702819737395</v>
      </c>
      <c r="D55" s="272">
        <v>28212.878835976524</v>
      </c>
      <c r="E55" s="272">
        <v>13018.177978238431</v>
      </c>
      <c r="F55" s="272">
        <v>16531.56343652001</v>
      </c>
      <c r="G55" s="272">
        <v>28123.775178308824</v>
      </c>
      <c r="H55" s="273">
        <v>24295.905412237404</v>
      </c>
      <c r="I55" s="272">
        <v>42861.6794122374</v>
      </c>
      <c r="J55" s="274">
        <v>38757.70239080883</v>
      </c>
      <c r="K55" s="272">
        <v>30559.7814722374</v>
      </c>
      <c r="L55" s="272">
        <v>44632.338232237424</v>
      </c>
      <c r="M55" s="272">
        <v>21344.29272223739</v>
      </c>
      <c r="N55" s="272">
        <v>3979.683973058824</v>
      </c>
      <c r="O55" s="272">
        <v>34011.94732973739</v>
      </c>
      <c r="P55" s="272">
        <v>17128.113496237394</v>
      </c>
      <c r="Q55" s="272">
        <v>32078.256575070725</v>
      </c>
      <c r="R55" s="272">
        <v>28542.97830114213</v>
      </c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4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>
        <v>977.17</v>
      </c>
      <c r="C57" s="272">
        <v>739.6600000000001</v>
      </c>
      <c r="D57" s="272">
        <v>1082.1700000000008</v>
      </c>
      <c r="E57" s="272">
        <v>235.95</v>
      </c>
      <c r="F57" s="272">
        <v>517.2470000000001</v>
      </c>
      <c r="G57" s="272">
        <v>467.192</v>
      </c>
      <c r="H57" s="272">
        <v>1007.325</v>
      </c>
      <c r="I57" s="272">
        <v>1117.285999999998</v>
      </c>
      <c r="J57" s="274">
        <v>1393.0000000000007</v>
      </c>
      <c r="K57" s="272">
        <v>1231.9999999999998</v>
      </c>
      <c r="L57" s="272">
        <v>1170.796</v>
      </c>
      <c r="M57" s="272">
        <v>740.2799999999999</v>
      </c>
      <c r="N57" s="272">
        <v>24.1</v>
      </c>
      <c r="O57" s="272">
        <v>679.8239999999979</v>
      </c>
      <c r="P57" s="272">
        <v>466.0168</v>
      </c>
      <c r="Q57" s="272">
        <v>941.3240000000001</v>
      </c>
      <c r="R57" s="272">
        <v>788.6592</v>
      </c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4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>
        <v>27700.372712237393</v>
      </c>
      <c r="C59" s="272">
        <v>22979.042819737395</v>
      </c>
      <c r="D59" s="272">
        <v>27130.708835976522</v>
      </c>
      <c r="E59" s="272">
        <v>12782.22797823843</v>
      </c>
      <c r="F59" s="272">
        <v>16014.31643652001</v>
      </c>
      <c r="G59" s="272">
        <v>27656.583178308825</v>
      </c>
      <c r="H59" s="272">
        <v>23288.580412237403</v>
      </c>
      <c r="I59" s="272">
        <v>41744.3934122374</v>
      </c>
      <c r="J59" s="274">
        <v>37364.70239080883</v>
      </c>
      <c r="K59" s="272">
        <v>29327.7814722374</v>
      </c>
      <c r="L59" s="272">
        <v>43461.54223223742</v>
      </c>
      <c r="M59" s="272">
        <v>20604.012722237392</v>
      </c>
      <c r="N59" s="272">
        <v>3955.583973058824</v>
      </c>
      <c r="O59" s="272">
        <v>33332.12332973739</v>
      </c>
      <c r="P59" s="272">
        <v>16662.096696237393</v>
      </c>
      <c r="Q59" s="272">
        <v>31136.932575070725</v>
      </c>
      <c r="R59" s="272">
        <v>27754.31910114213</v>
      </c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4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3"/>
      <c r="I61" s="272"/>
      <c r="J61" s="274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4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5"/>
      <c r="B63" s="272"/>
      <c r="C63" s="272"/>
      <c r="D63" s="272"/>
      <c r="E63" s="272"/>
      <c r="F63" s="272"/>
      <c r="G63" s="272"/>
      <c r="H63" s="273"/>
      <c r="I63" s="272"/>
      <c r="J63" s="274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5"/>
      <c r="B64" s="272"/>
      <c r="C64" s="272"/>
      <c r="D64" s="272"/>
      <c r="E64" s="272"/>
      <c r="F64" s="272"/>
      <c r="G64" s="272"/>
      <c r="H64" s="273"/>
      <c r="I64" s="272"/>
      <c r="J64" s="274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5"/>
      <c r="B65" s="272"/>
      <c r="C65" s="272"/>
      <c r="D65" s="272"/>
      <c r="E65" s="272"/>
      <c r="F65" s="272"/>
      <c r="G65" s="272"/>
      <c r="H65" s="273"/>
      <c r="I65" s="272"/>
      <c r="J65" s="274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5"/>
      <c r="B66" s="272"/>
      <c r="C66" s="272"/>
      <c r="D66" s="272"/>
      <c r="E66" s="272"/>
      <c r="F66" s="272"/>
      <c r="G66" s="272"/>
      <c r="H66" s="273"/>
      <c r="I66" s="272"/>
      <c r="J66" s="274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5"/>
      <c r="B67" s="272"/>
      <c r="C67" s="272"/>
      <c r="D67" s="272"/>
      <c r="E67" s="272"/>
      <c r="F67" s="272"/>
      <c r="G67" s="272"/>
      <c r="H67" s="273"/>
      <c r="I67" s="272"/>
      <c r="J67" s="274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5"/>
      <c r="B68" s="272"/>
      <c r="C68" s="272"/>
      <c r="D68" s="272"/>
      <c r="E68" s="272"/>
      <c r="F68" s="272"/>
      <c r="G68" s="272"/>
      <c r="H68" s="273"/>
      <c r="I68" s="272"/>
      <c r="J68" s="274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5"/>
      <c r="B69" s="272"/>
      <c r="C69" s="272"/>
      <c r="D69" s="272"/>
      <c r="E69" s="272"/>
      <c r="F69" s="272"/>
      <c r="G69" s="272"/>
      <c r="H69" s="273"/>
      <c r="I69" s="272"/>
      <c r="J69" s="274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5"/>
      <c r="B70" s="272"/>
      <c r="C70" s="272"/>
      <c r="D70" s="272"/>
      <c r="E70" s="272"/>
      <c r="F70" s="272"/>
      <c r="G70" s="272"/>
      <c r="H70" s="273"/>
      <c r="I70" s="272"/>
      <c r="J70" s="274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5"/>
      <c r="B71" s="272"/>
      <c r="C71" s="272"/>
      <c r="D71" s="272"/>
      <c r="E71" s="272"/>
      <c r="F71" s="272"/>
      <c r="G71" s="272"/>
      <c r="H71" s="273"/>
      <c r="I71" s="272"/>
      <c r="J71" s="274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5"/>
      <c r="B72" s="272"/>
      <c r="C72" s="272"/>
      <c r="D72" s="272"/>
      <c r="E72" s="272"/>
      <c r="F72" s="272"/>
      <c r="G72" s="272"/>
      <c r="H72" s="272"/>
      <c r="I72" s="272"/>
      <c r="J72" s="274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5"/>
      <c r="B73" s="272"/>
      <c r="C73" s="272"/>
      <c r="D73" s="272"/>
      <c r="E73" s="272"/>
      <c r="F73" s="272"/>
      <c r="G73" s="272"/>
      <c r="H73" s="273"/>
      <c r="I73" s="272"/>
      <c r="J73" s="274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5"/>
      <c r="B74" s="272"/>
      <c r="C74" s="272"/>
      <c r="D74" s="272"/>
      <c r="E74" s="272"/>
      <c r="F74" s="272"/>
      <c r="G74" s="272"/>
      <c r="H74" s="273"/>
      <c r="I74" s="272"/>
      <c r="J74" s="274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5"/>
      <c r="B75" s="272"/>
      <c r="C75" s="272"/>
      <c r="D75" s="272"/>
      <c r="E75" s="272"/>
      <c r="F75" s="272"/>
      <c r="G75" s="272"/>
      <c r="H75" s="273"/>
      <c r="I75" s="272"/>
      <c r="J75" s="274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5"/>
      <c r="B76" s="272"/>
      <c r="C76" s="272"/>
      <c r="D76" s="272"/>
      <c r="E76" s="272"/>
      <c r="F76" s="272"/>
      <c r="G76" s="272"/>
      <c r="H76" s="273"/>
      <c r="I76" s="272"/>
      <c r="J76" s="274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5"/>
      <c r="B77" s="272"/>
      <c r="C77" s="272"/>
      <c r="D77" s="272"/>
      <c r="E77" s="272"/>
      <c r="F77" s="272"/>
      <c r="G77" s="272"/>
      <c r="H77" s="273"/>
      <c r="I77" s="272"/>
      <c r="J77" s="274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5"/>
      <c r="B78" s="272"/>
      <c r="C78" s="272"/>
      <c r="D78" s="272"/>
      <c r="E78" s="272"/>
      <c r="F78" s="272"/>
      <c r="G78" s="272"/>
      <c r="H78" s="273"/>
      <c r="I78" s="272"/>
      <c r="J78" s="274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5"/>
      <c r="B79" s="272"/>
      <c r="C79" s="272"/>
      <c r="D79" s="272"/>
      <c r="E79" s="272"/>
      <c r="F79" s="272"/>
      <c r="G79" s="272"/>
      <c r="H79" s="273"/>
      <c r="I79" s="272"/>
      <c r="J79" s="274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5"/>
      <c r="B80" s="272"/>
      <c r="C80" s="272"/>
      <c r="D80" s="272"/>
      <c r="E80" s="272"/>
      <c r="F80" s="272"/>
      <c r="G80" s="272"/>
      <c r="H80" s="273"/>
      <c r="I80" s="272"/>
      <c r="J80" s="274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5"/>
      <c r="B81" s="272"/>
      <c r="C81" s="272"/>
      <c r="D81" s="272"/>
      <c r="E81" s="272"/>
      <c r="F81" s="272"/>
      <c r="G81" s="272"/>
      <c r="H81" s="273"/>
      <c r="I81" s="272"/>
      <c r="J81" s="274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5"/>
      <c r="B82" s="272"/>
      <c r="C82" s="272"/>
      <c r="D82" s="272"/>
      <c r="E82" s="272"/>
      <c r="F82" s="272"/>
      <c r="G82" s="272"/>
      <c r="H82" s="273"/>
      <c r="I82" s="272"/>
      <c r="J82" s="274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5"/>
      <c r="B83" s="272"/>
      <c r="C83" s="272"/>
      <c r="D83" s="272"/>
      <c r="E83" s="272"/>
      <c r="F83" s="272"/>
      <c r="G83" s="272"/>
      <c r="H83" s="273"/>
      <c r="I83" s="272"/>
      <c r="J83" s="274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5"/>
      <c r="B84" s="272"/>
      <c r="C84" s="272"/>
      <c r="D84" s="272"/>
      <c r="E84" s="272"/>
      <c r="F84" s="272"/>
      <c r="G84" s="272"/>
      <c r="H84" s="273"/>
      <c r="I84" s="272"/>
      <c r="J84" s="274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5"/>
      <c r="B85" s="272"/>
      <c r="C85" s="272"/>
      <c r="D85" s="272"/>
      <c r="E85" s="272"/>
      <c r="F85" s="272"/>
      <c r="G85" s="272"/>
      <c r="H85" s="273"/>
      <c r="I85" s="272"/>
      <c r="J85" s="274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5"/>
      <c r="B86" s="272"/>
      <c r="C86" s="272"/>
      <c r="D86" s="272"/>
      <c r="E86" s="272"/>
      <c r="F86" s="272"/>
      <c r="G86" s="272"/>
      <c r="H86" s="273"/>
      <c r="I86" s="272"/>
      <c r="J86" s="274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5"/>
      <c r="B87" s="272"/>
      <c r="C87" s="272"/>
      <c r="D87" s="272"/>
      <c r="E87" s="272"/>
      <c r="F87" s="272"/>
      <c r="G87" s="272"/>
      <c r="H87" s="273"/>
      <c r="I87" s="272"/>
      <c r="J87" s="274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5"/>
      <c r="B88" s="272"/>
      <c r="C88" s="272"/>
      <c r="D88" s="272"/>
      <c r="E88" s="272"/>
      <c r="F88" s="272"/>
      <c r="G88" s="272"/>
      <c r="H88" s="273"/>
      <c r="I88" s="272"/>
      <c r="J88" s="274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5"/>
      <c r="B89" s="272"/>
      <c r="C89" s="272"/>
      <c r="D89" s="272"/>
      <c r="E89" s="272"/>
      <c r="F89" s="272"/>
      <c r="G89" s="272"/>
      <c r="H89" s="273"/>
      <c r="I89" s="272"/>
      <c r="J89" s="274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5"/>
      <c r="B90" s="272"/>
      <c r="C90" s="272"/>
      <c r="D90" s="272"/>
      <c r="E90" s="272"/>
      <c r="F90" s="272"/>
      <c r="G90" s="272"/>
      <c r="H90" s="273"/>
      <c r="I90" s="272"/>
      <c r="J90" s="274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5"/>
      <c r="B91" s="272"/>
      <c r="C91" s="272"/>
      <c r="D91" s="272"/>
      <c r="E91" s="272"/>
      <c r="F91" s="272"/>
      <c r="G91" s="272"/>
      <c r="H91" s="273"/>
      <c r="I91" s="272"/>
      <c r="J91" s="274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5"/>
      <c r="B92" s="272"/>
      <c r="C92" s="272"/>
      <c r="D92" s="272"/>
      <c r="E92" s="272"/>
      <c r="F92" s="272"/>
      <c r="G92" s="272"/>
      <c r="H92" s="273"/>
      <c r="I92" s="272"/>
      <c r="J92" s="274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5"/>
      <c r="B93" s="272"/>
      <c r="C93" s="272"/>
      <c r="D93" s="272"/>
      <c r="E93" s="272"/>
      <c r="F93" s="272"/>
      <c r="G93" s="272"/>
      <c r="H93" s="273"/>
      <c r="I93" s="272"/>
      <c r="J93" s="274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5"/>
      <c r="B94" s="272"/>
      <c r="C94" s="272"/>
      <c r="D94" s="272"/>
      <c r="E94" s="272"/>
      <c r="F94" s="272"/>
      <c r="G94" s="272"/>
      <c r="H94" s="273"/>
      <c r="I94" s="272"/>
      <c r="J94" s="274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5"/>
      <c r="B95" s="272"/>
      <c r="C95" s="272"/>
      <c r="D95" s="272"/>
      <c r="E95" s="272"/>
      <c r="F95" s="272"/>
      <c r="G95" s="272"/>
      <c r="H95" s="273"/>
      <c r="I95" s="272"/>
      <c r="J95" s="274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5"/>
      <c r="B96" s="272"/>
      <c r="C96" s="272"/>
      <c r="D96" s="272"/>
      <c r="E96" s="272"/>
      <c r="F96" s="272"/>
      <c r="G96" s="272"/>
      <c r="H96" s="273"/>
      <c r="I96" s="272"/>
      <c r="J96" s="274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5"/>
      <c r="B97" s="272"/>
      <c r="C97" s="272"/>
      <c r="D97" s="272"/>
      <c r="E97" s="272"/>
      <c r="F97" s="272"/>
      <c r="G97" s="272"/>
      <c r="H97" s="273"/>
      <c r="I97" s="272"/>
      <c r="J97" s="274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5"/>
      <c r="B98" s="272"/>
      <c r="C98" s="272"/>
      <c r="D98" s="272"/>
      <c r="E98" s="272"/>
      <c r="F98" s="272"/>
      <c r="G98" s="272"/>
      <c r="H98" s="273"/>
      <c r="I98" s="272"/>
      <c r="J98" s="274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5"/>
      <c r="B99" s="272"/>
      <c r="C99" s="272"/>
      <c r="D99" s="272"/>
      <c r="E99" s="272"/>
      <c r="F99" s="272"/>
      <c r="G99" s="272"/>
      <c r="H99" s="273"/>
      <c r="I99" s="272"/>
      <c r="J99" s="274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5"/>
      <c r="B100" s="272"/>
      <c r="C100" s="272"/>
      <c r="D100" s="272"/>
      <c r="E100" s="272"/>
      <c r="F100" s="272"/>
      <c r="G100" s="272"/>
      <c r="H100" s="273"/>
      <c r="I100" s="272"/>
      <c r="J100" s="274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5"/>
      <c r="B101" s="272"/>
      <c r="C101" s="272"/>
      <c r="D101" s="272"/>
      <c r="E101" s="272"/>
      <c r="F101" s="272"/>
      <c r="G101" s="272"/>
      <c r="H101" s="273"/>
      <c r="I101" s="272"/>
      <c r="J101" s="274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5"/>
      <c r="B102" s="272"/>
      <c r="C102" s="272"/>
      <c r="D102" s="272"/>
      <c r="E102" s="272"/>
      <c r="F102" s="272"/>
      <c r="G102" s="272"/>
      <c r="H102" s="273"/>
      <c r="I102" s="272"/>
      <c r="J102" s="274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5"/>
      <c r="B103" s="272"/>
      <c r="C103" s="272"/>
      <c r="D103" s="272"/>
      <c r="E103" s="272"/>
      <c r="F103" s="272"/>
      <c r="G103" s="272"/>
      <c r="H103" s="273"/>
      <c r="I103" s="272"/>
      <c r="J103" s="274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5"/>
      <c r="B104" s="272"/>
      <c r="C104" s="272"/>
      <c r="D104" s="272"/>
      <c r="E104" s="272"/>
      <c r="F104" s="272"/>
      <c r="G104" s="272"/>
      <c r="H104" s="273"/>
      <c r="I104" s="272"/>
      <c r="J104" s="274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5"/>
      <c r="B105" s="272"/>
      <c r="C105" s="272"/>
      <c r="D105" s="272"/>
      <c r="E105" s="272"/>
      <c r="F105" s="272"/>
      <c r="G105" s="272"/>
      <c r="H105" s="273"/>
      <c r="I105" s="272"/>
      <c r="J105" s="274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5"/>
      <c r="B106" s="272"/>
      <c r="C106" s="272"/>
      <c r="D106" s="272"/>
      <c r="E106" s="272"/>
      <c r="F106" s="272"/>
      <c r="G106" s="272"/>
      <c r="H106" s="273"/>
      <c r="I106" s="272"/>
      <c r="J106" s="274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5"/>
      <c r="B107" s="272"/>
      <c r="C107" s="272"/>
      <c r="D107" s="272"/>
      <c r="E107" s="272"/>
      <c r="F107" s="272"/>
      <c r="G107" s="272"/>
      <c r="H107" s="273"/>
      <c r="I107" s="272"/>
      <c r="J107" s="274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5"/>
      <c r="B108" s="272"/>
      <c r="C108" s="272"/>
      <c r="D108" s="272"/>
      <c r="E108" s="272"/>
      <c r="F108" s="272"/>
      <c r="G108" s="272"/>
      <c r="H108" s="273"/>
      <c r="I108" s="272"/>
      <c r="J108" s="274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5"/>
      <c r="B109" s="272"/>
      <c r="C109" s="272"/>
      <c r="D109" s="272"/>
      <c r="E109" s="272"/>
      <c r="F109" s="272"/>
      <c r="G109" s="272"/>
      <c r="H109" s="273"/>
      <c r="I109" s="272"/>
      <c r="J109" s="274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5"/>
      <c r="B110" s="272"/>
      <c r="C110" s="272"/>
      <c r="D110" s="272"/>
      <c r="E110" s="272"/>
      <c r="F110" s="272"/>
      <c r="G110" s="272"/>
      <c r="H110" s="273"/>
      <c r="I110" s="272"/>
      <c r="J110" s="274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5"/>
      <c r="B111" s="272"/>
      <c r="C111" s="272"/>
      <c r="D111" s="272"/>
      <c r="E111" s="272"/>
      <c r="F111" s="272"/>
      <c r="G111" s="272"/>
      <c r="H111" s="273"/>
      <c r="I111" s="272"/>
      <c r="J111" s="274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5"/>
      <c r="B112" s="272"/>
      <c r="C112" s="272"/>
      <c r="D112" s="272"/>
      <c r="E112" s="272"/>
      <c r="F112" s="272"/>
      <c r="G112" s="272"/>
      <c r="H112" s="273"/>
      <c r="I112" s="272"/>
      <c r="J112" s="274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5"/>
      <c r="B113" s="272"/>
      <c r="C113" s="272"/>
      <c r="D113" s="272"/>
      <c r="E113" s="272"/>
      <c r="F113" s="272"/>
      <c r="G113" s="272"/>
      <c r="H113" s="273"/>
      <c r="I113" s="272"/>
      <c r="J113" s="274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5"/>
      <c r="B114" s="272"/>
      <c r="C114" s="272"/>
      <c r="D114" s="272"/>
      <c r="E114" s="272"/>
      <c r="F114" s="272"/>
      <c r="G114" s="272"/>
      <c r="H114" s="273"/>
      <c r="I114" s="272"/>
      <c r="J114" s="274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5"/>
      <c r="B115" s="272"/>
      <c r="C115" s="272"/>
      <c r="D115" s="272"/>
      <c r="E115" s="272"/>
      <c r="F115" s="272"/>
      <c r="G115" s="272"/>
      <c r="H115" s="273"/>
      <c r="I115" s="272"/>
      <c r="J115" s="274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5"/>
      <c r="B116" s="272"/>
      <c r="C116" s="272"/>
      <c r="D116" s="272"/>
      <c r="E116" s="272"/>
      <c r="F116" s="272"/>
      <c r="G116" s="272"/>
      <c r="H116" s="273"/>
      <c r="I116" s="272"/>
      <c r="J116" s="274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5"/>
      <c r="B117" s="272"/>
      <c r="C117" s="272"/>
      <c r="D117" s="272"/>
      <c r="E117" s="272"/>
      <c r="F117" s="272"/>
      <c r="G117" s="272"/>
      <c r="H117" s="273"/>
      <c r="I117" s="272"/>
      <c r="J117" s="274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5"/>
      <c r="B118" s="272"/>
      <c r="C118" s="272"/>
      <c r="D118" s="272"/>
      <c r="E118" s="272"/>
      <c r="F118" s="272"/>
      <c r="G118" s="272"/>
      <c r="H118" s="273"/>
      <c r="I118" s="272"/>
      <c r="J118" s="274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5"/>
      <c r="B119" s="272"/>
      <c r="C119" s="272"/>
      <c r="D119" s="272"/>
      <c r="E119" s="272"/>
      <c r="F119" s="272"/>
      <c r="G119" s="272"/>
      <c r="H119" s="273"/>
      <c r="I119" s="272"/>
      <c r="J119" s="274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5"/>
      <c r="B120" s="272"/>
      <c r="C120" s="272"/>
      <c r="D120" s="272"/>
      <c r="E120" s="272"/>
      <c r="F120" s="272"/>
      <c r="G120" s="272"/>
      <c r="H120" s="273"/>
      <c r="I120" s="272"/>
      <c r="J120" s="274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5"/>
      <c r="B121" s="272"/>
      <c r="C121" s="272"/>
      <c r="D121" s="272"/>
      <c r="E121" s="272"/>
      <c r="F121" s="272"/>
      <c r="G121" s="272"/>
      <c r="H121" s="273"/>
      <c r="I121" s="272"/>
      <c r="J121" s="274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5"/>
      <c r="B122" s="272"/>
      <c r="C122" s="272"/>
      <c r="D122" s="272"/>
      <c r="E122" s="272"/>
      <c r="F122" s="272"/>
      <c r="G122" s="272"/>
      <c r="H122" s="273"/>
      <c r="I122" s="272"/>
      <c r="J122" s="274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5"/>
      <c r="B123" s="272"/>
      <c r="C123" s="272"/>
      <c r="D123" s="272"/>
      <c r="E123" s="272"/>
      <c r="F123" s="272"/>
      <c r="G123" s="272"/>
      <c r="H123" s="273"/>
      <c r="I123" s="272"/>
      <c r="J123" s="274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5"/>
      <c r="B124" s="272"/>
      <c r="C124" s="272"/>
      <c r="D124" s="272"/>
      <c r="E124" s="272"/>
      <c r="F124" s="272"/>
      <c r="G124" s="272"/>
      <c r="H124" s="273"/>
      <c r="I124" s="272"/>
      <c r="J124" s="274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5"/>
      <c r="B125" s="272"/>
      <c r="C125" s="272"/>
      <c r="D125" s="272"/>
      <c r="E125" s="272"/>
      <c r="F125" s="272"/>
      <c r="G125" s="272"/>
      <c r="H125" s="273"/>
      <c r="I125" s="272"/>
      <c r="J125" s="274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5"/>
      <c r="B126" s="272"/>
      <c r="C126" s="272"/>
      <c r="D126" s="272"/>
      <c r="E126" s="272"/>
      <c r="F126" s="272"/>
      <c r="G126" s="272"/>
      <c r="H126" s="273"/>
      <c r="I126" s="272"/>
      <c r="J126" s="274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5"/>
      <c r="B127" s="272"/>
      <c r="C127" s="272"/>
      <c r="D127" s="272"/>
      <c r="E127" s="272"/>
      <c r="F127" s="272"/>
      <c r="G127" s="272"/>
      <c r="H127" s="273"/>
      <c r="I127" s="272"/>
      <c r="J127" s="274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5"/>
      <c r="B128" s="272"/>
      <c r="C128" s="272"/>
      <c r="D128" s="272"/>
      <c r="E128" s="272"/>
      <c r="F128" s="272"/>
      <c r="G128" s="272"/>
      <c r="H128" s="273"/>
      <c r="I128" s="272"/>
      <c r="J128" s="274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5"/>
      <c r="B129" s="272"/>
      <c r="C129" s="272"/>
      <c r="D129" s="272"/>
      <c r="E129" s="272"/>
      <c r="F129" s="272"/>
      <c r="G129" s="272"/>
      <c r="H129" s="273"/>
      <c r="I129" s="272"/>
      <c r="J129" s="274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5"/>
      <c r="B130" s="272"/>
      <c r="C130" s="272"/>
      <c r="D130" s="272"/>
      <c r="E130" s="272"/>
      <c r="F130" s="272"/>
      <c r="G130" s="272"/>
      <c r="H130" s="273"/>
      <c r="I130" s="272"/>
      <c r="J130" s="274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5"/>
      <c r="B131" s="272"/>
      <c r="C131" s="272"/>
      <c r="D131" s="272"/>
      <c r="E131" s="272"/>
      <c r="F131" s="272"/>
      <c r="G131" s="272"/>
      <c r="H131" s="273"/>
      <c r="I131" s="272"/>
      <c r="J131" s="274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5"/>
      <c r="B132" s="272"/>
      <c r="C132" s="272"/>
      <c r="D132" s="272"/>
      <c r="E132" s="272"/>
      <c r="F132" s="272"/>
      <c r="G132" s="272"/>
      <c r="H132" s="273"/>
      <c r="I132" s="272"/>
      <c r="J132" s="274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5"/>
      <c r="B133" s="272"/>
      <c r="C133" s="272"/>
      <c r="D133" s="272"/>
      <c r="E133" s="272"/>
      <c r="F133" s="272"/>
      <c r="G133" s="272"/>
      <c r="H133" s="273"/>
      <c r="I133" s="272"/>
      <c r="J133" s="274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5"/>
      <c r="B134" s="272"/>
      <c r="C134" s="272"/>
      <c r="D134" s="272"/>
      <c r="E134" s="272"/>
      <c r="F134" s="272"/>
      <c r="G134" s="272"/>
      <c r="H134" s="273"/>
      <c r="I134" s="272"/>
      <c r="J134" s="274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5"/>
      <c r="B135" s="272"/>
      <c r="C135" s="272"/>
      <c r="D135" s="272"/>
      <c r="E135" s="272"/>
      <c r="F135" s="272"/>
      <c r="G135" s="272"/>
      <c r="H135" s="273"/>
      <c r="I135" s="272"/>
      <c r="J135" s="274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5"/>
      <c r="B136" s="272"/>
      <c r="C136" s="272"/>
      <c r="D136" s="272"/>
      <c r="E136" s="272"/>
      <c r="F136" s="272"/>
      <c r="G136" s="272"/>
      <c r="H136" s="273"/>
      <c r="I136" s="272"/>
      <c r="J136" s="274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5"/>
      <c r="B137" s="272"/>
      <c r="C137" s="272"/>
      <c r="D137" s="272"/>
      <c r="E137" s="272"/>
      <c r="F137" s="272"/>
      <c r="G137" s="272"/>
      <c r="H137" s="273"/>
      <c r="I137" s="272"/>
      <c r="J137" s="274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5"/>
      <c r="B138" s="272"/>
      <c r="C138" s="272"/>
      <c r="D138" s="272"/>
      <c r="E138" s="272"/>
      <c r="F138" s="272"/>
      <c r="G138" s="272"/>
      <c r="H138" s="273"/>
      <c r="I138" s="272"/>
      <c r="J138" s="274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5"/>
      <c r="B139" s="272"/>
      <c r="C139" s="272"/>
      <c r="D139" s="272"/>
      <c r="E139" s="272"/>
      <c r="F139" s="272"/>
      <c r="G139" s="272"/>
      <c r="H139" s="273"/>
      <c r="I139" s="272"/>
      <c r="J139" s="274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5"/>
      <c r="B140" s="272"/>
      <c r="C140" s="272"/>
      <c r="D140" s="272"/>
      <c r="E140" s="272"/>
      <c r="F140" s="272"/>
      <c r="G140" s="272"/>
      <c r="H140" s="273"/>
      <c r="I140" s="272"/>
      <c r="J140" s="274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5"/>
      <c r="B141" s="272"/>
      <c r="C141" s="272"/>
      <c r="D141" s="272"/>
      <c r="E141" s="272"/>
      <c r="F141" s="272"/>
      <c r="G141" s="272"/>
      <c r="H141" s="273"/>
      <c r="I141" s="272"/>
      <c r="J141" s="274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5"/>
      <c r="B142" s="272"/>
      <c r="C142" s="272"/>
      <c r="D142" s="272"/>
      <c r="E142" s="272"/>
      <c r="F142" s="272"/>
      <c r="G142" s="272"/>
      <c r="H142" s="273"/>
      <c r="I142" s="272"/>
      <c r="J142" s="274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5"/>
      <c r="B143" s="272"/>
      <c r="C143" s="272"/>
      <c r="D143" s="272"/>
      <c r="E143" s="272"/>
      <c r="F143" s="272"/>
      <c r="G143" s="272"/>
      <c r="H143" s="273"/>
      <c r="I143" s="272"/>
      <c r="J143" s="274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5"/>
      <c r="B144" s="272"/>
      <c r="C144" s="272"/>
      <c r="D144" s="272"/>
      <c r="E144" s="272"/>
      <c r="F144" s="272"/>
      <c r="G144" s="272"/>
      <c r="H144" s="273"/>
      <c r="I144" s="272"/>
      <c r="J144" s="274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5"/>
      <c r="B145" s="272"/>
      <c r="C145" s="272"/>
      <c r="D145" s="272"/>
      <c r="E145" s="272"/>
      <c r="F145" s="272"/>
      <c r="G145" s="272"/>
      <c r="H145" s="273"/>
      <c r="I145" s="272"/>
      <c r="J145" s="274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5"/>
      <c r="B146" s="272"/>
      <c r="C146" s="272"/>
      <c r="D146" s="272"/>
      <c r="E146" s="272"/>
      <c r="F146" s="272"/>
      <c r="G146" s="272"/>
      <c r="H146" s="273"/>
      <c r="I146" s="272"/>
      <c r="J146" s="274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5"/>
      <c r="B147" s="272"/>
      <c r="C147" s="272"/>
      <c r="D147" s="272"/>
      <c r="E147" s="272"/>
      <c r="F147" s="272"/>
      <c r="G147" s="272"/>
      <c r="H147" s="273"/>
      <c r="I147" s="272"/>
      <c r="J147" s="274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5"/>
      <c r="B148" s="272"/>
      <c r="C148" s="272"/>
      <c r="D148" s="272"/>
      <c r="E148" s="272"/>
      <c r="F148" s="272"/>
      <c r="G148" s="272"/>
      <c r="H148" s="273"/>
      <c r="I148" s="272"/>
      <c r="J148" s="274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5"/>
      <c r="B149" s="272"/>
      <c r="C149" s="272"/>
      <c r="D149" s="272"/>
      <c r="E149" s="272"/>
      <c r="F149" s="272"/>
      <c r="G149" s="272"/>
      <c r="H149" s="273"/>
      <c r="I149" s="272"/>
      <c r="J149" s="274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5"/>
      <c r="B150" s="272"/>
      <c r="C150" s="272"/>
      <c r="D150" s="272"/>
      <c r="E150" s="272"/>
      <c r="F150" s="272"/>
      <c r="G150" s="272"/>
      <c r="H150" s="273"/>
      <c r="I150" s="272"/>
      <c r="J150" s="274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5"/>
      <c r="B151" s="272"/>
      <c r="C151" s="272"/>
      <c r="D151" s="272"/>
      <c r="E151" s="272"/>
      <c r="F151" s="272"/>
      <c r="G151" s="272"/>
      <c r="H151" s="273"/>
      <c r="I151" s="272"/>
      <c r="J151" s="274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5"/>
      <c r="B152" s="272"/>
      <c r="C152" s="272"/>
      <c r="D152" s="272"/>
      <c r="E152" s="272"/>
      <c r="F152" s="272"/>
      <c r="G152" s="272"/>
      <c r="H152" s="273"/>
      <c r="I152" s="272"/>
      <c r="J152" s="274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5"/>
      <c r="B153" s="272"/>
      <c r="C153" s="272"/>
      <c r="D153" s="272"/>
      <c r="E153" s="272"/>
      <c r="F153" s="272"/>
      <c r="G153" s="272"/>
      <c r="H153" s="273"/>
      <c r="I153" s="272"/>
      <c r="J153" s="274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5"/>
      <c r="B154" s="272"/>
      <c r="C154" s="272"/>
      <c r="D154" s="272"/>
      <c r="E154" s="272"/>
      <c r="F154" s="272"/>
      <c r="G154" s="272"/>
      <c r="H154" s="273"/>
      <c r="I154" s="272"/>
      <c r="J154" s="274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5"/>
      <c r="B155" s="272"/>
      <c r="C155" s="272"/>
      <c r="D155" s="272"/>
      <c r="E155" s="272"/>
      <c r="F155" s="272"/>
      <c r="G155" s="272"/>
      <c r="H155" s="273"/>
      <c r="I155" s="272"/>
      <c r="J155" s="274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5"/>
      <c r="B156" s="272"/>
      <c r="C156" s="272"/>
      <c r="D156" s="272"/>
      <c r="E156" s="272"/>
      <c r="F156" s="272"/>
      <c r="G156" s="272"/>
      <c r="H156" s="273"/>
      <c r="I156" s="272"/>
      <c r="J156" s="274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5"/>
      <c r="B157" s="272"/>
      <c r="C157" s="272"/>
      <c r="D157" s="272"/>
      <c r="E157" s="272"/>
      <c r="F157" s="272"/>
      <c r="G157" s="272"/>
      <c r="H157" s="273"/>
      <c r="I157" s="272"/>
      <c r="J157" s="274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5"/>
      <c r="B158" s="272"/>
      <c r="C158" s="272"/>
      <c r="D158" s="272"/>
      <c r="E158" s="272"/>
      <c r="F158" s="272"/>
      <c r="G158" s="272"/>
      <c r="H158" s="273"/>
      <c r="I158" s="272"/>
      <c r="J158" s="274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5"/>
      <c r="B159" s="272"/>
      <c r="C159" s="272"/>
      <c r="D159" s="272"/>
      <c r="E159" s="272"/>
      <c r="F159" s="272"/>
      <c r="G159" s="272"/>
      <c r="H159" s="273"/>
      <c r="I159" s="272"/>
      <c r="J159" s="274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5"/>
      <c r="B160" s="272"/>
      <c r="C160" s="272"/>
      <c r="D160" s="272"/>
      <c r="E160" s="272"/>
      <c r="F160" s="272"/>
      <c r="G160" s="272"/>
      <c r="H160" s="273"/>
      <c r="I160" s="272"/>
      <c r="J160" s="274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5"/>
      <c r="B161" s="272"/>
      <c r="C161" s="272"/>
      <c r="D161" s="272"/>
      <c r="E161" s="272"/>
      <c r="F161" s="272"/>
      <c r="G161" s="272"/>
      <c r="H161" s="273"/>
      <c r="I161" s="272"/>
      <c r="J161" s="274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5"/>
      <c r="B162" s="272"/>
      <c r="C162" s="272"/>
      <c r="D162" s="272"/>
      <c r="E162" s="272"/>
      <c r="F162" s="272"/>
      <c r="G162" s="272"/>
      <c r="H162" s="273"/>
      <c r="I162" s="272"/>
      <c r="J162" s="274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5"/>
      <c r="B163" s="272"/>
      <c r="C163" s="272"/>
      <c r="D163" s="272"/>
      <c r="E163" s="272"/>
      <c r="F163" s="272"/>
      <c r="G163" s="272"/>
      <c r="H163" s="273"/>
      <c r="I163" s="272"/>
      <c r="J163" s="274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5"/>
      <c r="B164" s="272"/>
      <c r="C164" s="272"/>
      <c r="D164" s="272"/>
      <c r="E164" s="272"/>
      <c r="F164" s="272"/>
      <c r="G164" s="272"/>
      <c r="H164" s="273"/>
      <c r="I164" s="272"/>
      <c r="J164" s="274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5"/>
      <c r="B165" s="272"/>
      <c r="C165" s="272"/>
      <c r="D165" s="272"/>
      <c r="E165" s="272"/>
      <c r="F165" s="272"/>
      <c r="G165" s="272"/>
      <c r="H165" s="273"/>
      <c r="I165" s="272"/>
      <c r="J165" s="274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5"/>
      <c r="B166" s="272"/>
      <c r="C166" s="272"/>
      <c r="D166" s="272"/>
      <c r="E166" s="272"/>
      <c r="F166" s="272"/>
      <c r="G166" s="272"/>
      <c r="H166" s="273"/>
      <c r="I166" s="272"/>
      <c r="J166" s="274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5"/>
      <c r="B167" s="272"/>
      <c r="C167" s="272"/>
      <c r="D167" s="272"/>
      <c r="E167" s="272"/>
      <c r="F167" s="272"/>
      <c r="G167" s="272"/>
      <c r="H167" s="273"/>
      <c r="I167" s="272"/>
      <c r="J167" s="274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5"/>
      <c r="B168" s="272"/>
      <c r="C168" s="272"/>
      <c r="D168" s="272"/>
      <c r="E168" s="272"/>
      <c r="F168" s="272"/>
      <c r="G168" s="272"/>
      <c r="H168" s="273"/>
      <c r="I168" s="272"/>
      <c r="J168" s="274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5"/>
      <c r="B169" s="272"/>
      <c r="C169" s="272"/>
      <c r="D169" s="272"/>
      <c r="E169" s="272"/>
      <c r="F169" s="272"/>
      <c r="G169" s="272"/>
      <c r="H169" s="273"/>
      <c r="I169" s="272"/>
      <c r="J169" s="274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5"/>
      <c r="B170" s="272"/>
      <c r="C170" s="272"/>
      <c r="D170" s="272"/>
      <c r="E170" s="272"/>
      <c r="F170" s="272"/>
      <c r="G170" s="272"/>
      <c r="H170" s="273"/>
      <c r="I170" s="272"/>
      <c r="J170" s="274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5"/>
      <c r="B171" s="272"/>
      <c r="C171" s="272"/>
      <c r="D171" s="272"/>
      <c r="E171" s="272"/>
      <c r="F171" s="272"/>
      <c r="G171" s="272"/>
      <c r="H171" s="273"/>
      <c r="I171" s="272"/>
      <c r="J171" s="274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5"/>
      <c r="B172" s="272"/>
      <c r="C172" s="272"/>
      <c r="D172" s="272"/>
      <c r="E172" s="272"/>
      <c r="F172" s="272"/>
      <c r="G172" s="272"/>
      <c r="H172" s="273"/>
      <c r="I172" s="272"/>
      <c r="J172" s="274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5"/>
      <c r="B173" s="272"/>
      <c r="C173" s="272"/>
      <c r="D173" s="272"/>
      <c r="E173" s="272"/>
      <c r="F173" s="272"/>
      <c r="G173" s="272"/>
      <c r="H173" s="273"/>
      <c r="I173" s="272"/>
      <c r="J173" s="274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5"/>
      <c r="B174" s="272"/>
      <c r="C174" s="272"/>
      <c r="D174" s="272"/>
      <c r="E174" s="272"/>
      <c r="F174" s="272"/>
      <c r="G174" s="272"/>
      <c r="H174" s="273"/>
      <c r="I174" s="272"/>
      <c r="J174" s="274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5"/>
      <c r="B175" s="272"/>
      <c r="C175" s="272"/>
      <c r="D175" s="272"/>
      <c r="E175" s="272"/>
      <c r="F175" s="272"/>
      <c r="G175" s="272"/>
      <c r="H175" s="273"/>
      <c r="I175" s="272"/>
      <c r="J175" s="274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5"/>
      <c r="B176" s="272"/>
      <c r="C176" s="272"/>
      <c r="D176" s="272"/>
      <c r="E176" s="272"/>
      <c r="F176" s="272"/>
      <c r="G176" s="272"/>
      <c r="H176" s="273"/>
      <c r="I176" s="272"/>
      <c r="J176" s="274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5"/>
      <c r="B177" s="272"/>
      <c r="C177" s="272"/>
      <c r="D177" s="272"/>
      <c r="E177" s="272"/>
      <c r="F177" s="272"/>
      <c r="G177" s="272"/>
      <c r="H177" s="273"/>
      <c r="I177" s="272"/>
      <c r="J177" s="274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5"/>
      <c r="B178" s="272"/>
      <c r="C178" s="272"/>
      <c r="D178" s="272"/>
      <c r="E178" s="272"/>
      <c r="F178" s="272"/>
      <c r="G178" s="272"/>
      <c r="H178" s="273"/>
      <c r="I178" s="272"/>
      <c r="J178" s="274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5"/>
      <c r="B179" s="272"/>
      <c r="C179" s="272"/>
      <c r="D179" s="272"/>
      <c r="E179" s="272"/>
      <c r="F179" s="272"/>
      <c r="G179" s="272"/>
      <c r="H179" s="273"/>
      <c r="I179" s="272"/>
      <c r="J179" s="274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5"/>
      <c r="B180" s="272"/>
      <c r="C180" s="272"/>
      <c r="D180" s="272"/>
      <c r="E180" s="272"/>
      <c r="F180" s="272"/>
      <c r="G180" s="272"/>
      <c r="H180" s="273"/>
      <c r="I180" s="272"/>
      <c r="J180" s="274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5"/>
      <c r="B181" s="272"/>
      <c r="C181" s="272"/>
      <c r="D181" s="272"/>
      <c r="E181" s="272"/>
      <c r="F181" s="272"/>
      <c r="G181" s="272"/>
      <c r="H181" s="273"/>
      <c r="I181" s="272"/>
      <c r="J181" s="274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5"/>
      <c r="B182" s="272"/>
      <c r="C182" s="272"/>
      <c r="D182" s="272"/>
      <c r="E182" s="272"/>
      <c r="F182" s="272"/>
      <c r="G182" s="272"/>
      <c r="H182" s="273"/>
      <c r="I182" s="272"/>
      <c r="J182" s="274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5"/>
      <c r="B183" s="272"/>
      <c r="C183" s="272"/>
      <c r="D183" s="272"/>
      <c r="E183" s="272"/>
      <c r="F183" s="272"/>
      <c r="G183" s="272"/>
      <c r="H183" s="273"/>
      <c r="I183" s="272"/>
      <c r="J183" s="274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5"/>
      <c r="B184" s="272"/>
      <c r="C184" s="272"/>
      <c r="D184" s="272"/>
      <c r="E184" s="272"/>
      <c r="F184" s="272"/>
      <c r="G184" s="272"/>
      <c r="H184" s="273"/>
      <c r="I184" s="272"/>
      <c r="J184" s="274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5"/>
      <c r="B185" s="272"/>
      <c r="C185" s="272"/>
      <c r="D185" s="272"/>
      <c r="E185" s="272"/>
      <c r="F185" s="272"/>
      <c r="G185" s="272"/>
      <c r="H185" s="273"/>
      <c r="I185" s="272"/>
      <c r="J185" s="274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5"/>
      <c r="B186" s="272"/>
      <c r="C186" s="272"/>
      <c r="D186" s="272"/>
      <c r="E186" s="272"/>
      <c r="F186" s="272"/>
      <c r="G186" s="272"/>
      <c r="H186" s="273"/>
      <c r="I186" s="272"/>
      <c r="J186" s="274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5"/>
      <c r="B187" s="272"/>
      <c r="C187" s="272"/>
      <c r="D187" s="272"/>
      <c r="E187" s="272"/>
      <c r="F187" s="272"/>
      <c r="G187" s="272"/>
      <c r="H187" s="273"/>
      <c r="I187" s="272"/>
      <c r="J187" s="274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5"/>
      <c r="B188" s="272"/>
      <c r="C188" s="272"/>
      <c r="D188" s="272"/>
      <c r="E188" s="272"/>
      <c r="F188" s="272"/>
      <c r="G188" s="272"/>
      <c r="H188" s="273"/>
      <c r="I188" s="272"/>
      <c r="J188" s="274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5"/>
      <c r="B189" s="272"/>
      <c r="C189" s="272"/>
      <c r="D189" s="272"/>
      <c r="E189" s="272"/>
      <c r="F189" s="272"/>
      <c r="G189" s="272"/>
      <c r="H189" s="273"/>
      <c r="I189" s="272"/>
      <c r="J189" s="274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5"/>
      <c r="B190" s="272"/>
      <c r="C190" s="272"/>
      <c r="D190" s="272"/>
      <c r="E190" s="272"/>
      <c r="F190" s="272"/>
      <c r="G190" s="272"/>
      <c r="H190" s="273"/>
      <c r="I190" s="272"/>
      <c r="J190" s="274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5"/>
      <c r="B191" s="272"/>
      <c r="C191" s="272"/>
      <c r="D191" s="272"/>
      <c r="E191" s="272"/>
      <c r="F191" s="272"/>
      <c r="G191" s="272"/>
      <c r="H191" s="273"/>
      <c r="I191" s="272"/>
      <c r="J191" s="274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5"/>
      <c r="B192" s="272"/>
      <c r="C192" s="272"/>
      <c r="D192" s="272"/>
      <c r="E192" s="272"/>
      <c r="F192" s="272"/>
      <c r="G192" s="272"/>
      <c r="H192" s="273"/>
      <c r="I192" s="272"/>
      <c r="J192" s="274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5"/>
      <c r="B193" s="272"/>
      <c r="C193" s="272"/>
      <c r="D193" s="272"/>
      <c r="E193" s="272"/>
      <c r="F193" s="272"/>
      <c r="G193" s="272"/>
      <c r="H193" s="273"/>
      <c r="I193" s="272"/>
      <c r="J193" s="274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5"/>
      <c r="B194" s="272"/>
      <c r="C194" s="272"/>
      <c r="D194" s="272"/>
      <c r="E194" s="272"/>
      <c r="F194" s="272"/>
      <c r="G194" s="272"/>
      <c r="H194" s="273"/>
      <c r="I194" s="272"/>
      <c r="J194" s="274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5"/>
      <c r="B195" s="272"/>
      <c r="C195" s="272"/>
      <c r="D195" s="272"/>
      <c r="E195" s="272"/>
      <c r="F195" s="272"/>
      <c r="G195" s="272"/>
      <c r="H195" s="273"/>
      <c r="I195" s="272"/>
      <c r="J195" s="274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5"/>
      <c r="B196" s="272"/>
      <c r="C196" s="272"/>
      <c r="D196" s="272"/>
      <c r="E196" s="272"/>
      <c r="F196" s="272"/>
      <c r="G196" s="272"/>
      <c r="H196" s="273"/>
      <c r="I196" s="272"/>
      <c r="J196" s="274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5"/>
      <c r="B197" s="272"/>
      <c r="C197" s="272"/>
      <c r="D197" s="272"/>
      <c r="E197" s="272"/>
      <c r="F197" s="272"/>
      <c r="G197" s="272"/>
      <c r="H197" s="273"/>
      <c r="I197" s="272"/>
      <c r="J197" s="274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5"/>
      <c r="B198" s="272"/>
      <c r="C198" s="272"/>
      <c r="D198" s="272"/>
      <c r="E198" s="272"/>
      <c r="F198" s="272"/>
      <c r="G198" s="272"/>
      <c r="H198" s="273"/>
      <c r="I198" s="272"/>
      <c r="J198" s="274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5"/>
      <c r="B199" s="272"/>
      <c r="C199" s="272"/>
      <c r="D199" s="272"/>
      <c r="E199" s="272"/>
      <c r="F199" s="272"/>
      <c r="G199" s="272"/>
      <c r="H199" s="273"/>
      <c r="I199" s="272"/>
      <c r="J199" s="274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5"/>
      <c r="B200" s="272"/>
      <c r="C200" s="272"/>
      <c r="D200" s="272"/>
      <c r="E200" s="272"/>
      <c r="F200" s="272"/>
      <c r="G200" s="272"/>
      <c r="H200" s="273"/>
      <c r="I200" s="272"/>
      <c r="J200" s="274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5"/>
      <c r="B201" s="272"/>
      <c r="C201" s="272"/>
      <c r="D201" s="272"/>
      <c r="E201" s="272"/>
      <c r="F201" s="272"/>
      <c r="G201" s="272"/>
      <c r="H201" s="273"/>
      <c r="I201" s="272"/>
      <c r="J201" s="274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5"/>
      <c r="B202" s="272"/>
      <c r="C202" s="272"/>
      <c r="D202" s="272"/>
      <c r="E202" s="272"/>
      <c r="F202" s="272"/>
      <c r="G202" s="272"/>
      <c r="H202" s="273"/>
      <c r="I202" s="272"/>
      <c r="J202" s="274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5"/>
      <c r="B203" s="272"/>
      <c r="C203" s="272"/>
      <c r="D203" s="272"/>
      <c r="E203" s="272"/>
      <c r="F203" s="272"/>
      <c r="G203" s="272"/>
      <c r="H203" s="273"/>
      <c r="I203" s="272"/>
      <c r="J203" s="274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5"/>
      <c r="B204" s="272"/>
      <c r="C204" s="272"/>
      <c r="D204" s="272"/>
      <c r="E204" s="272"/>
      <c r="F204" s="272"/>
      <c r="G204" s="272"/>
      <c r="H204" s="273"/>
      <c r="I204" s="272"/>
      <c r="J204" s="274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5"/>
      <c r="B205" s="272"/>
      <c r="C205" s="272"/>
      <c r="D205" s="272"/>
      <c r="E205" s="272"/>
      <c r="F205" s="272"/>
      <c r="G205" s="272"/>
      <c r="H205" s="273"/>
      <c r="I205" s="272"/>
      <c r="J205" s="274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5"/>
      <c r="B206" s="272"/>
      <c r="C206" s="272"/>
      <c r="D206" s="272"/>
      <c r="E206" s="272"/>
      <c r="F206" s="272"/>
      <c r="G206" s="272"/>
      <c r="H206" s="273"/>
      <c r="I206" s="272"/>
      <c r="J206" s="274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5"/>
      <c r="B207" s="272"/>
      <c r="C207" s="272"/>
      <c r="D207" s="272"/>
      <c r="E207" s="272"/>
      <c r="F207" s="272"/>
      <c r="G207" s="272"/>
      <c r="H207" s="273"/>
      <c r="I207" s="272"/>
      <c r="J207" s="274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5"/>
      <c r="B208" s="272"/>
      <c r="C208" s="272"/>
      <c r="D208" s="272"/>
      <c r="E208" s="272"/>
      <c r="F208" s="272"/>
      <c r="G208" s="272"/>
      <c r="H208" s="273"/>
      <c r="I208" s="272"/>
      <c r="J208" s="274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5"/>
      <c r="B209" s="272"/>
      <c r="C209" s="272"/>
      <c r="D209" s="272"/>
      <c r="E209" s="272"/>
      <c r="F209" s="272"/>
      <c r="G209" s="272"/>
      <c r="H209" s="273"/>
      <c r="I209" s="272"/>
      <c r="J209" s="274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5"/>
      <c r="B210" s="272"/>
      <c r="C210" s="272"/>
      <c r="D210" s="272"/>
      <c r="E210" s="272"/>
      <c r="F210" s="272"/>
      <c r="G210" s="272"/>
      <c r="H210" s="273"/>
      <c r="I210" s="272"/>
      <c r="J210" s="274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5"/>
      <c r="B211" s="272"/>
      <c r="C211" s="272"/>
      <c r="D211" s="272"/>
      <c r="E211" s="272"/>
      <c r="F211" s="272"/>
      <c r="G211" s="272"/>
      <c r="H211" s="273"/>
      <c r="I211" s="272"/>
      <c r="J211" s="274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5"/>
      <c r="B212" s="272"/>
      <c r="C212" s="272"/>
      <c r="D212" s="272"/>
      <c r="E212" s="272"/>
      <c r="F212" s="272"/>
      <c r="G212" s="272"/>
      <c r="H212" s="273"/>
      <c r="I212" s="272"/>
      <c r="J212" s="274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5"/>
      <c r="B213" s="272"/>
      <c r="C213" s="272"/>
      <c r="D213" s="272"/>
      <c r="E213" s="272"/>
      <c r="F213" s="272"/>
      <c r="G213" s="272"/>
      <c r="H213" s="273"/>
      <c r="I213" s="272"/>
      <c r="J213" s="274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5"/>
      <c r="B214" s="272"/>
      <c r="C214" s="272"/>
      <c r="D214" s="272"/>
      <c r="E214" s="272"/>
      <c r="F214" s="272"/>
      <c r="G214" s="272"/>
      <c r="H214" s="273"/>
      <c r="I214" s="272"/>
      <c r="J214" s="274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5"/>
      <c r="B215" s="272"/>
      <c r="C215" s="272"/>
      <c r="D215" s="272"/>
      <c r="E215" s="272"/>
      <c r="F215" s="272"/>
      <c r="G215" s="272"/>
      <c r="H215" s="273"/>
      <c r="I215" s="272"/>
      <c r="J215" s="274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5"/>
      <c r="B216" s="272"/>
      <c r="C216" s="272"/>
      <c r="D216" s="272"/>
      <c r="E216" s="272"/>
      <c r="F216" s="272"/>
      <c r="G216" s="272"/>
      <c r="H216" s="273"/>
      <c r="I216" s="272"/>
      <c r="J216" s="274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5"/>
      <c r="B217" s="272"/>
      <c r="C217" s="272"/>
      <c r="D217" s="272"/>
      <c r="E217" s="272"/>
      <c r="F217" s="272"/>
      <c r="G217" s="272"/>
      <c r="H217" s="273"/>
      <c r="I217" s="272"/>
      <c r="J217" s="274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5"/>
      <c r="B218" s="272"/>
      <c r="C218" s="272"/>
      <c r="D218" s="272"/>
      <c r="E218" s="272"/>
      <c r="F218" s="272"/>
      <c r="G218" s="272"/>
      <c r="H218" s="273"/>
      <c r="I218" s="272"/>
      <c r="J218" s="274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5"/>
      <c r="B219" s="272"/>
      <c r="C219" s="272"/>
      <c r="D219" s="272"/>
      <c r="E219" s="272"/>
      <c r="F219" s="272"/>
      <c r="G219" s="272"/>
      <c r="H219" s="273"/>
      <c r="I219" s="272"/>
      <c r="J219" s="274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5"/>
      <c r="B220" s="272"/>
      <c r="C220" s="272"/>
      <c r="D220" s="272"/>
      <c r="E220" s="272"/>
      <c r="F220" s="272"/>
      <c r="G220" s="272"/>
      <c r="H220" s="273"/>
      <c r="I220" s="272"/>
      <c r="J220" s="274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5"/>
      <c r="B221" s="272"/>
      <c r="C221" s="272"/>
      <c r="D221" s="272"/>
      <c r="E221" s="272"/>
      <c r="F221" s="272"/>
      <c r="G221" s="272"/>
      <c r="H221" s="273"/>
      <c r="I221" s="272"/>
      <c r="J221" s="274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5"/>
      <c r="B222" s="272"/>
      <c r="C222" s="272"/>
      <c r="D222" s="272"/>
      <c r="E222" s="272"/>
      <c r="F222" s="272"/>
      <c r="G222" s="272"/>
      <c r="H222" s="273"/>
      <c r="I222" s="272"/>
      <c r="J222" s="274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5"/>
      <c r="B223" s="272"/>
      <c r="C223" s="272"/>
      <c r="D223" s="272"/>
      <c r="E223" s="272"/>
      <c r="F223" s="272"/>
      <c r="G223" s="272"/>
      <c r="H223" s="273"/>
      <c r="I223" s="272"/>
      <c r="J223" s="274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5"/>
      <c r="B224" s="272"/>
      <c r="C224" s="272"/>
      <c r="D224" s="272"/>
      <c r="E224" s="272"/>
      <c r="F224" s="272"/>
      <c r="G224" s="272"/>
      <c r="H224" s="273"/>
      <c r="I224" s="272"/>
      <c r="J224" s="274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5"/>
      <c r="B225" s="272"/>
      <c r="C225" s="272"/>
      <c r="D225" s="272"/>
      <c r="E225" s="272"/>
      <c r="F225" s="272"/>
      <c r="G225" s="272"/>
      <c r="H225" s="273"/>
      <c r="I225" s="272"/>
      <c r="J225" s="274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5"/>
      <c r="B226" s="272"/>
      <c r="C226" s="272"/>
      <c r="D226" s="272"/>
      <c r="E226" s="272"/>
      <c r="F226" s="272"/>
      <c r="G226" s="272"/>
      <c r="H226" s="273"/>
      <c r="I226" s="272"/>
      <c r="J226" s="274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5"/>
      <c r="B227" s="272"/>
      <c r="C227" s="272"/>
      <c r="D227" s="272"/>
      <c r="E227" s="272"/>
      <c r="F227" s="272"/>
      <c r="G227" s="272"/>
      <c r="H227" s="273"/>
      <c r="I227" s="272"/>
      <c r="J227" s="274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5"/>
      <c r="B228" s="272"/>
      <c r="C228" s="272"/>
      <c r="D228" s="272"/>
      <c r="E228" s="272"/>
      <c r="F228" s="272"/>
      <c r="G228" s="272"/>
      <c r="H228" s="273"/>
      <c r="I228" s="272"/>
      <c r="J228" s="274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5"/>
      <c r="B229" s="272"/>
      <c r="C229" s="272"/>
      <c r="D229" s="272"/>
      <c r="E229" s="272"/>
      <c r="F229" s="272"/>
      <c r="G229" s="272"/>
      <c r="H229" s="273"/>
      <c r="I229" s="272"/>
      <c r="J229" s="274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5"/>
      <c r="B230" s="272"/>
      <c r="C230" s="272"/>
      <c r="D230" s="272"/>
      <c r="E230" s="272"/>
      <c r="F230" s="272"/>
      <c r="G230" s="272"/>
      <c r="H230" s="273"/>
      <c r="I230" s="272"/>
      <c r="J230" s="274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5"/>
      <c r="B231" s="272"/>
      <c r="C231" s="272"/>
      <c r="D231" s="272"/>
      <c r="E231" s="272"/>
      <c r="F231" s="272"/>
      <c r="G231" s="272"/>
      <c r="H231" s="273"/>
      <c r="I231" s="272"/>
      <c r="J231" s="274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5"/>
      <c r="B232" s="272"/>
      <c r="C232" s="272"/>
      <c r="D232" s="272"/>
      <c r="E232" s="272"/>
      <c r="F232" s="272"/>
      <c r="G232" s="272"/>
      <c r="H232" s="273"/>
      <c r="I232" s="272"/>
      <c r="J232" s="274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5"/>
      <c r="B233" s="272"/>
      <c r="C233" s="272"/>
      <c r="D233" s="272"/>
      <c r="E233" s="272"/>
      <c r="F233" s="272"/>
      <c r="G233" s="272"/>
      <c r="H233" s="273"/>
      <c r="I233" s="272"/>
      <c r="J233" s="274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5"/>
      <c r="B234" s="272"/>
      <c r="C234" s="272"/>
      <c r="D234" s="272"/>
      <c r="E234" s="272"/>
      <c r="F234" s="272"/>
      <c r="G234" s="272"/>
      <c r="H234" s="273"/>
      <c r="I234" s="272"/>
      <c r="J234" s="274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5"/>
      <c r="B235" s="272"/>
      <c r="C235" s="272"/>
      <c r="D235" s="272"/>
      <c r="E235" s="272"/>
      <c r="F235" s="272"/>
      <c r="G235" s="272"/>
      <c r="H235" s="273"/>
      <c r="I235" s="272"/>
      <c r="J235" s="274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5"/>
      <c r="B236" s="272"/>
      <c r="C236" s="272"/>
      <c r="D236" s="272"/>
      <c r="E236" s="272"/>
      <c r="F236" s="272"/>
      <c r="G236" s="272"/>
      <c r="H236" s="273"/>
      <c r="I236" s="272"/>
      <c r="J236" s="274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5"/>
      <c r="B237" s="272"/>
      <c r="C237" s="272"/>
      <c r="D237" s="272"/>
      <c r="E237" s="272"/>
      <c r="F237" s="272"/>
      <c r="G237" s="272"/>
      <c r="H237" s="273"/>
      <c r="I237" s="272"/>
      <c r="J237" s="274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5"/>
      <c r="B238" s="272"/>
      <c r="C238" s="272"/>
      <c r="D238" s="272"/>
      <c r="E238" s="272"/>
      <c r="F238" s="272"/>
      <c r="G238" s="272"/>
      <c r="H238" s="273"/>
      <c r="I238" s="272"/>
      <c r="J238" s="274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5"/>
      <c r="B239" s="272"/>
      <c r="C239" s="272"/>
      <c r="D239" s="272"/>
      <c r="E239" s="272"/>
      <c r="F239" s="272"/>
      <c r="G239" s="272"/>
      <c r="H239" s="273"/>
      <c r="I239" s="272"/>
      <c r="J239" s="274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5"/>
      <c r="B240" s="272"/>
      <c r="C240" s="272"/>
      <c r="D240" s="272"/>
      <c r="E240" s="272"/>
      <c r="F240" s="272"/>
      <c r="G240" s="272"/>
      <c r="H240" s="273"/>
      <c r="I240" s="272"/>
      <c r="J240" s="274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5"/>
      <c r="B241" s="272"/>
      <c r="C241" s="272"/>
      <c r="D241" s="272"/>
      <c r="E241" s="272"/>
      <c r="F241" s="272"/>
      <c r="G241" s="272"/>
      <c r="H241" s="273"/>
      <c r="I241" s="272"/>
      <c r="J241" s="274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5"/>
      <c r="B242" s="272"/>
      <c r="C242" s="272"/>
      <c r="D242" s="272"/>
      <c r="E242" s="272"/>
      <c r="F242" s="272"/>
      <c r="G242" s="272"/>
      <c r="H242" s="273"/>
      <c r="I242" s="272"/>
      <c r="J242" s="274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5"/>
      <c r="B243" s="272"/>
      <c r="C243" s="272"/>
      <c r="D243" s="272"/>
      <c r="E243" s="272"/>
      <c r="F243" s="272"/>
      <c r="G243" s="272"/>
      <c r="H243" s="273"/>
      <c r="I243" s="272"/>
      <c r="J243" s="274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5"/>
      <c r="B244" s="272"/>
      <c r="C244" s="272"/>
      <c r="D244" s="272"/>
      <c r="E244" s="272"/>
      <c r="F244" s="272"/>
      <c r="G244" s="272"/>
      <c r="H244" s="273"/>
      <c r="I244" s="272"/>
      <c r="J244" s="274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5"/>
      <c r="B245" s="272"/>
      <c r="C245" s="272"/>
      <c r="D245" s="272"/>
      <c r="E245" s="272"/>
      <c r="F245" s="272"/>
      <c r="G245" s="272"/>
      <c r="H245" s="273"/>
      <c r="I245" s="272"/>
      <c r="J245" s="274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5"/>
      <c r="B246" s="272"/>
      <c r="C246" s="272"/>
      <c r="D246" s="272"/>
      <c r="E246" s="272"/>
      <c r="F246" s="272"/>
      <c r="G246" s="272"/>
      <c r="H246" s="273"/>
      <c r="I246" s="272"/>
      <c r="J246" s="274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20.25" customHeight="1">
      <c r="A247" s="275"/>
      <c r="B247" s="272"/>
      <c r="C247" s="272"/>
      <c r="D247" s="272"/>
      <c r="E247" s="272"/>
      <c r="F247" s="272"/>
      <c r="G247" s="272"/>
      <c r="H247" s="273"/>
      <c r="I247" s="272"/>
      <c r="J247" s="274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72"/>
    </row>
    <row r="248" ht="20.25" customHeight="1">
      <c r="A248" s="275"/>
      <c r="B248" s="272"/>
      <c r="C248" s="272"/>
      <c r="D248" s="272"/>
      <c r="E248" s="272"/>
      <c r="F248" s="272"/>
      <c r="G248" s="272"/>
      <c r="H248" s="273"/>
      <c r="I248" s="272"/>
      <c r="J248" s="274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</row>
    <row r="249" ht="20.25" customHeight="1">
      <c r="A249" s="275"/>
      <c r="B249" s="272"/>
      <c r="C249" s="272"/>
      <c r="D249" s="272"/>
      <c r="E249" s="272"/>
      <c r="F249" s="272"/>
      <c r="G249" s="272"/>
      <c r="H249" s="273"/>
      <c r="I249" s="272"/>
      <c r="J249" s="274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</row>
    <row r="250" ht="20.25" customHeight="1">
      <c r="A250" s="275"/>
      <c r="B250" s="272"/>
      <c r="C250" s="272"/>
      <c r="D250" s="272"/>
      <c r="E250" s="272"/>
      <c r="F250" s="272"/>
      <c r="G250" s="272"/>
      <c r="H250" s="273"/>
      <c r="I250" s="272"/>
      <c r="J250" s="274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72"/>
    </row>
    <row r="251" ht="20.25" customHeight="1">
      <c r="A251" s="275"/>
      <c r="B251" s="272"/>
      <c r="C251" s="272"/>
      <c r="D251" s="272"/>
      <c r="E251" s="272"/>
      <c r="F251" s="272"/>
      <c r="G251" s="272"/>
      <c r="H251" s="273"/>
      <c r="I251" s="272"/>
      <c r="J251" s="274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72"/>
    </row>
    <row r="252" ht="20.25" customHeight="1">
      <c r="A252" s="275"/>
      <c r="B252" s="272"/>
      <c r="C252" s="272"/>
      <c r="D252" s="272"/>
      <c r="E252" s="272"/>
      <c r="F252" s="272"/>
      <c r="G252" s="272"/>
      <c r="H252" s="273"/>
      <c r="I252" s="272"/>
      <c r="J252" s="274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72"/>
    </row>
    <row r="253" ht="20.25" customHeight="1">
      <c r="A253" s="275"/>
      <c r="B253" s="272"/>
      <c r="C253" s="272"/>
      <c r="D253" s="272"/>
      <c r="E253" s="272"/>
      <c r="F253" s="272"/>
      <c r="G253" s="272"/>
      <c r="H253" s="273"/>
      <c r="I253" s="272"/>
      <c r="J253" s="274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72"/>
    </row>
    <row r="254" ht="20.25" customHeight="1">
      <c r="A254" s="275"/>
      <c r="B254" s="272"/>
      <c r="C254" s="272"/>
      <c r="D254" s="272"/>
      <c r="E254" s="272"/>
      <c r="F254" s="272"/>
      <c r="G254" s="272"/>
      <c r="H254" s="273"/>
      <c r="I254" s="272"/>
      <c r="J254" s="274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72"/>
    </row>
    <row r="255" ht="20.25" customHeight="1">
      <c r="A255" s="275"/>
      <c r="B255" s="272"/>
      <c r="C255" s="272"/>
      <c r="D255" s="272"/>
      <c r="E255" s="272"/>
      <c r="F255" s="272"/>
      <c r="G255" s="272"/>
      <c r="H255" s="273"/>
      <c r="I255" s="272"/>
      <c r="J255" s="274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</row>
    <row r="256" ht="20.25" customHeight="1">
      <c r="A256" s="275"/>
      <c r="B256" s="272"/>
      <c r="C256" s="272"/>
      <c r="D256" s="272"/>
      <c r="E256" s="272"/>
      <c r="F256" s="272"/>
      <c r="G256" s="272"/>
      <c r="H256" s="273"/>
      <c r="I256" s="272"/>
      <c r="J256" s="274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72"/>
    </row>
    <row r="257" ht="20.25" customHeight="1">
      <c r="A257" s="275"/>
      <c r="B257" s="272"/>
      <c r="C257" s="272"/>
      <c r="D257" s="272"/>
      <c r="E257" s="272"/>
      <c r="F257" s="272"/>
      <c r="G257" s="272"/>
      <c r="H257" s="273"/>
      <c r="I257" s="272"/>
      <c r="J257" s="274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</row>
    <row r="258" ht="20.25" customHeight="1">
      <c r="A258" s="275"/>
      <c r="B258" s="272"/>
      <c r="C258" s="272"/>
      <c r="D258" s="272"/>
      <c r="E258" s="272"/>
      <c r="F258" s="272"/>
      <c r="G258" s="272"/>
      <c r="H258" s="273"/>
      <c r="I258" s="272"/>
      <c r="J258" s="274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</row>
    <row r="259" ht="20.25" customHeight="1">
      <c r="A259" s="275"/>
      <c r="B259" s="272"/>
      <c r="C259" s="272"/>
      <c r="D259" s="272"/>
      <c r="E259" s="272"/>
      <c r="F259" s="272"/>
      <c r="G259" s="272"/>
      <c r="H259" s="273"/>
      <c r="I259" s="272"/>
      <c r="J259" s="274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141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80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7" t="s">
        <v>18</v>
      </c>
      <c r="M31" s="139"/>
      <c r="N31" s="139"/>
      <c r="O31" s="177" t="s">
        <v>57</v>
      </c>
      <c r="P31" s="181"/>
      <c r="Q31" s="160" t="s">
        <v>17</v>
      </c>
      <c r="R31" s="160" t="s">
        <v>15</v>
      </c>
      <c r="S31" s="177" t="s">
        <v>18</v>
      </c>
      <c r="T31" s="139"/>
      <c r="U31" s="177" t="s">
        <v>19</v>
      </c>
      <c r="V31" s="177" t="s">
        <v>20</v>
      </c>
      <c r="W31" s="177" t="s">
        <v>21</v>
      </c>
      <c r="X31" s="177" t="s">
        <v>142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39"/>
      <c r="J32" s="177">
        <f>D32*25.4/1000</f>
        <v>0</v>
      </c>
      <c r="K32" s="160">
        <f>+G32</f>
        <v>1</v>
      </c>
      <c r="L32" s="160">
        <f>K32*J32</f>
        <v>0</v>
      </c>
      <c r="M32" s="139"/>
      <c r="N32" s="139"/>
      <c r="O32" s="177"/>
      <c r="P32" s="189"/>
      <c r="Q32" s="177">
        <f t="shared" ref="Q32:Q249" si="7">E32/100</f>
        <v>0</v>
      </c>
      <c r="R32" s="160">
        <f t="shared" ref="R32:R249" si="8">G32</f>
        <v>1</v>
      </c>
      <c r="S32" s="160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39"/>
      <c r="J33" s="177"/>
      <c r="K33" s="160"/>
      <c r="L33" s="160"/>
      <c r="M33" s="139"/>
      <c r="N33" s="139"/>
      <c r="O33" s="177"/>
      <c r="P33" s="189"/>
      <c r="Q33" s="177">
        <f t="shared" si="7"/>
        <v>0</v>
      </c>
      <c r="R33" s="160">
        <f t="shared" si="8"/>
        <v>1</v>
      </c>
      <c r="S33" s="160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39"/>
      <c r="J34" s="177">
        <f t="shared" ref="J34:J56" si="15">D34*25.4/1000</f>
        <v>0</v>
      </c>
      <c r="K34" s="160">
        <f t="shared" ref="K34:K69" si="16">+G34</f>
        <v>1</v>
      </c>
      <c r="L34" s="160">
        <f t="shared" ref="L34:L56" si="17">K34*J34</f>
        <v>0</v>
      </c>
      <c r="M34" s="139"/>
      <c r="N34" s="139"/>
      <c r="O34" s="177"/>
      <c r="P34" s="189"/>
      <c r="Q34" s="177">
        <f t="shared" si="7"/>
        <v>0</v>
      </c>
      <c r="R34" s="160">
        <f t="shared" si="8"/>
        <v>1</v>
      </c>
      <c r="S34" s="160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39"/>
      <c r="J35" s="177">
        <f t="shared" si="15"/>
        <v>0</v>
      </c>
      <c r="K35" s="160">
        <f t="shared" si="16"/>
        <v>1</v>
      </c>
      <c r="L35" s="160">
        <f t="shared" si="17"/>
        <v>0</v>
      </c>
      <c r="M35" s="139"/>
      <c r="N35" s="139"/>
      <c r="O35" s="177"/>
      <c r="P35" s="189"/>
      <c r="Q35" s="177">
        <f t="shared" si="7"/>
        <v>0</v>
      </c>
      <c r="R35" s="160">
        <f t="shared" si="8"/>
        <v>1</v>
      </c>
      <c r="S35" s="160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39"/>
      <c r="J36" s="177">
        <f t="shared" si="15"/>
        <v>0</v>
      </c>
      <c r="K36" s="160">
        <f t="shared" si="16"/>
        <v>1</v>
      </c>
      <c r="L36" s="160">
        <f t="shared" si="17"/>
        <v>0</v>
      </c>
      <c r="M36" s="139"/>
      <c r="N36" s="139"/>
      <c r="O36" s="177"/>
      <c r="P36" s="189"/>
      <c r="Q36" s="177">
        <f t="shared" si="7"/>
        <v>0</v>
      </c>
      <c r="R36" s="160">
        <f t="shared" si="8"/>
        <v>1</v>
      </c>
      <c r="S36" s="160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39"/>
      <c r="J37" s="177">
        <f t="shared" si="15"/>
        <v>0</v>
      </c>
      <c r="K37" s="160">
        <f t="shared" si="16"/>
        <v>1</v>
      </c>
      <c r="L37" s="160">
        <f t="shared" si="17"/>
        <v>0</v>
      </c>
      <c r="M37" s="139"/>
      <c r="N37" s="139"/>
      <c r="O37" s="177"/>
      <c r="P37" s="189"/>
      <c r="Q37" s="177">
        <f t="shared" si="7"/>
        <v>0</v>
      </c>
      <c r="R37" s="160">
        <f t="shared" si="8"/>
        <v>1</v>
      </c>
      <c r="S37" s="160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39"/>
      <c r="J38" s="177">
        <f t="shared" si="15"/>
        <v>0</v>
      </c>
      <c r="K38" s="160">
        <f t="shared" si="16"/>
        <v>1</v>
      </c>
      <c r="L38" s="160">
        <f t="shared" si="17"/>
        <v>0</v>
      </c>
      <c r="M38" s="139"/>
      <c r="N38" s="139"/>
      <c r="O38" s="177"/>
      <c r="P38" s="189"/>
      <c r="Q38" s="177">
        <f t="shared" si="7"/>
        <v>0</v>
      </c>
      <c r="R38" s="160">
        <f t="shared" si="8"/>
        <v>1</v>
      </c>
      <c r="S38" s="160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39"/>
      <c r="J39" s="177">
        <f t="shared" si="15"/>
        <v>0</v>
      </c>
      <c r="K39" s="160">
        <f t="shared" si="16"/>
        <v>1</v>
      </c>
      <c r="L39" s="160">
        <f t="shared" si="17"/>
        <v>0</v>
      </c>
      <c r="M39" s="139"/>
      <c r="N39" s="139"/>
      <c r="O39" s="177"/>
      <c r="P39" s="189"/>
      <c r="Q39" s="177">
        <f t="shared" si="7"/>
        <v>0</v>
      </c>
      <c r="R39" s="160">
        <f t="shared" si="8"/>
        <v>1</v>
      </c>
      <c r="S39" s="160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39"/>
      <c r="J40" s="177">
        <f t="shared" si="15"/>
        <v>0</v>
      </c>
      <c r="K40" s="160">
        <f t="shared" si="16"/>
        <v>1</v>
      </c>
      <c r="L40" s="160">
        <f t="shared" si="17"/>
        <v>0</v>
      </c>
      <c r="M40" s="139"/>
      <c r="N40" s="139"/>
      <c r="O40" s="177"/>
      <c r="P40" s="189"/>
      <c r="Q40" s="177">
        <f t="shared" si="7"/>
        <v>0</v>
      </c>
      <c r="R40" s="160">
        <f t="shared" si="8"/>
        <v>1</v>
      </c>
      <c r="S40" s="160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39"/>
      <c r="J41" s="177">
        <f t="shared" si="15"/>
        <v>0</v>
      </c>
      <c r="K41" s="160">
        <f t="shared" si="16"/>
        <v>1</v>
      </c>
      <c r="L41" s="160">
        <f t="shared" si="17"/>
        <v>0</v>
      </c>
      <c r="M41" s="139"/>
      <c r="N41" s="139"/>
      <c r="O41" s="177"/>
      <c r="P41" s="189"/>
      <c r="Q41" s="177">
        <f t="shared" si="7"/>
        <v>0</v>
      </c>
      <c r="R41" s="160">
        <f t="shared" si="8"/>
        <v>1</v>
      </c>
      <c r="S41" s="160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39"/>
      <c r="J42" s="177">
        <f t="shared" si="15"/>
        <v>0</v>
      </c>
      <c r="K42" s="160">
        <f t="shared" si="16"/>
        <v>1</v>
      </c>
      <c r="L42" s="160">
        <f t="shared" si="17"/>
        <v>0</v>
      </c>
      <c r="M42" s="139"/>
      <c r="N42" s="139"/>
      <c r="O42" s="177"/>
      <c r="P42" s="189"/>
      <c r="Q42" s="177">
        <f t="shared" si="7"/>
        <v>0</v>
      </c>
      <c r="R42" s="160">
        <f t="shared" si="8"/>
        <v>1</v>
      </c>
      <c r="S42" s="160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39"/>
      <c r="J43" s="177">
        <f t="shared" si="15"/>
        <v>0</v>
      </c>
      <c r="K43" s="160">
        <f t="shared" si="16"/>
        <v>1</v>
      </c>
      <c r="L43" s="160">
        <f t="shared" si="17"/>
        <v>0</v>
      </c>
      <c r="M43" s="139"/>
      <c r="N43" s="139"/>
      <c r="O43" s="177"/>
      <c r="P43" s="189"/>
      <c r="Q43" s="177">
        <f t="shared" si="7"/>
        <v>0</v>
      </c>
      <c r="R43" s="160">
        <f t="shared" si="8"/>
        <v>1</v>
      </c>
      <c r="S43" s="160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39"/>
      <c r="J44" s="177">
        <f t="shared" si="15"/>
        <v>0</v>
      </c>
      <c r="K44" s="160">
        <f t="shared" si="16"/>
        <v>1</v>
      </c>
      <c r="L44" s="160">
        <f t="shared" si="17"/>
        <v>0</v>
      </c>
      <c r="M44" s="139"/>
      <c r="N44" s="139"/>
      <c r="O44" s="177"/>
      <c r="P44" s="189"/>
      <c r="Q44" s="177">
        <f t="shared" si="7"/>
        <v>0</v>
      </c>
      <c r="R44" s="160">
        <f t="shared" si="8"/>
        <v>1</v>
      </c>
      <c r="S44" s="160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39"/>
      <c r="J45" s="177">
        <f t="shared" si="15"/>
        <v>0</v>
      </c>
      <c r="K45" s="160">
        <f t="shared" si="16"/>
        <v>1</v>
      </c>
      <c r="L45" s="160">
        <f t="shared" si="17"/>
        <v>0</v>
      </c>
      <c r="M45" s="139"/>
      <c r="N45" s="139"/>
      <c r="O45" s="177"/>
      <c r="P45" s="189"/>
      <c r="Q45" s="177">
        <f t="shared" si="7"/>
        <v>0</v>
      </c>
      <c r="R45" s="160">
        <f t="shared" si="8"/>
        <v>1</v>
      </c>
      <c r="S45" s="160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39"/>
      <c r="J46" s="177">
        <f t="shared" si="15"/>
        <v>0</v>
      </c>
      <c r="K46" s="160">
        <f t="shared" si="16"/>
        <v>1</v>
      </c>
      <c r="L46" s="160">
        <f t="shared" si="17"/>
        <v>0</v>
      </c>
      <c r="M46" s="139"/>
      <c r="N46" s="139"/>
      <c r="O46" s="177"/>
      <c r="P46" s="189"/>
      <c r="Q46" s="177">
        <f t="shared" si="7"/>
        <v>0</v>
      </c>
      <c r="R46" s="160">
        <f t="shared" si="8"/>
        <v>1</v>
      </c>
      <c r="S46" s="160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39"/>
      <c r="J47" s="177">
        <f t="shared" si="15"/>
        <v>0</v>
      </c>
      <c r="K47" s="160">
        <f t="shared" si="16"/>
        <v>1</v>
      </c>
      <c r="L47" s="160">
        <f t="shared" si="17"/>
        <v>0</v>
      </c>
      <c r="M47" s="139"/>
      <c r="N47" s="139"/>
      <c r="O47" s="177"/>
      <c r="P47" s="189"/>
      <c r="Q47" s="177">
        <f t="shared" si="7"/>
        <v>0</v>
      </c>
      <c r="R47" s="160">
        <f t="shared" si="8"/>
        <v>1</v>
      </c>
      <c r="S47" s="160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39"/>
      <c r="J48" s="177">
        <f t="shared" si="15"/>
        <v>0</v>
      </c>
      <c r="K48" s="160">
        <f t="shared" si="16"/>
        <v>1</v>
      </c>
      <c r="L48" s="160">
        <f t="shared" si="17"/>
        <v>0</v>
      </c>
      <c r="M48" s="139"/>
      <c r="N48" s="139"/>
      <c r="O48" s="177"/>
      <c r="P48" s="189"/>
      <c r="Q48" s="177">
        <f t="shared" si="7"/>
        <v>0</v>
      </c>
      <c r="R48" s="160">
        <f t="shared" si="8"/>
        <v>1</v>
      </c>
      <c r="S48" s="160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39"/>
      <c r="J49" s="177">
        <f t="shared" si="15"/>
        <v>0</v>
      </c>
      <c r="K49" s="160">
        <f t="shared" si="16"/>
        <v>1</v>
      </c>
      <c r="L49" s="160">
        <f t="shared" si="17"/>
        <v>0</v>
      </c>
      <c r="M49" s="139"/>
      <c r="N49" s="139"/>
      <c r="O49" s="177"/>
      <c r="P49" s="189"/>
      <c r="Q49" s="177">
        <f t="shared" si="7"/>
        <v>0</v>
      </c>
      <c r="R49" s="160">
        <f t="shared" si="8"/>
        <v>1</v>
      </c>
      <c r="S49" s="160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39"/>
      <c r="J50" s="177">
        <f t="shared" si="15"/>
        <v>0</v>
      </c>
      <c r="K50" s="160">
        <f t="shared" si="16"/>
        <v>1</v>
      </c>
      <c r="L50" s="160">
        <f t="shared" si="17"/>
        <v>0</v>
      </c>
      <c r="M50" s="139"/>
      <c r="N50" s="139"/>
      <c r="O50" s="177"/>
      <c r="P50" s="189"/>
      <c r="Q50" s="177">
        <f t="shared" si="7"/>
        <v>0</v>
      </c>
      <c r="R50" s="160">
        <f t="shared" si="8"/>
        <v>1</v>
      </c>
      <c r="S50" s="160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39"/>
      <c r="J51" s="177">
        <f t="shared" si="15"/>
        <v>0</v>
      </c>
      <c r="K51" s="160">
        <f t="shared" si="16"/>
        <v>1</v>
      </c>
      <c r="L51" s="160">
        <f t="shared" si="17"/>
        <v>0</v>
      </c>
      <c r="M51" s="139"/>
      <c r="N51" s="139"/>
      <c r="O51" s="177"/>
      <c r="P51" s="189"/>
      <c r="Q51" s="177">
        <f t="shared" si="7"/>
        <v>0</v>
      </c>
      <c r="R51" s="160">
        <f t="shared" si="8"/>
        <v>1</v>
      </c>
      <c r="S51" s="160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39"/>
      <c r="J52" s="177">
        <f t="shared" si="15"/>
        <v>0</v>
      </c>
      <c r="K52" s="160">
        <f t="shared" si="16"/>
        <v>1</v>
      </c>
      <c r="L52" s="160">
        <f t="shared" si="17"/>
        <v>0</v>
      </c>
      <c r="M52" s="139"/>
      <c r="N52" s="139"/>
      <c r="O52" s="177"/>
      <c r="P52" s="189"/>
      <c r="Q52" s="177">
        <f t="shared" si="7"/>
        <v>0</v>
      </c>
      <c r="R52" s="160">
        <f t="shared" si="8"/>
        <v>1</v>
      </c>
      <c r="S52" s="160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39"/>
      <c r="J53" s="177">
        <f t="shared" si="15"/>
        <v>0</v>
      </c>
      <c r="K53" s="160">
        <f t="shared" si="16"/>
        <v>1</v>
      </c>
      <c r="L53" s="160">
        <f t="shared" si="17"/>
        <v>0</v>
      </c>
      <c r="M53" s="139"/>
      <c r="N53" s="139"/>
      <c r="O53" s="177"/>
      <c r="P53" s="189"/>
      <c r="Q53" s="177">
        <f t="shared" si="7"/>
        <v>0</v>
      </c>
      <c r="R53" s="160">
        <f t="shared" si="8"/>
        <v>1</v>
      </c>
      <c r="S53" s="160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39"/>
      <c r="J54" s="177">
        <f t="shared" si="15"/>
        <v>0</v>
      </c>
      <c r="K54" s="160">
        <f t="shared" si="16"/>
        <v>1</v>
      </c>
      <c r="L54" s="160">
        <f t="shared" si="17"/>
        <v>0</v>
      </c>
      <c r="M54" s="139"/>
      <c r="N54" s="139"/>
      <c r="O54" s="177"/>
      <c r="P54" s="189"/>
      <c r="Q54" s="177">
        <f t="shared" si="7"/>
        <v>0</v>
      </c>
      <c r="R54" s="160">
        <f t="shared" si="8"/>
        <v>1</v>
      </c>
      <c r="S54" s="160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39"/>
      <c r="J55" s="177">
        <f t="shared" si="15"/>
        <v>0</v>
      </c>
      <c r="K55" s="160">
        <f t="shared" si="16"/>
        <v>1</v>
      </c>
      <c r="L55" s="160">
        <f t="shared" si="17"/>
        <v>0</v>
      </c>
      <c r="M55" s="139"/>
      <c r="N55" s="139"/>
      <c r="O55" s="177"/>
      <c r="P55" s="189"/>
      <c r="Q55" s="177">
        <f t="shared" si="7"/>
        <v>0</v>
      </c>
      <c r="R55" s="160">
        <f t="shared" si="8"/>
        <v>1</v>
      </c>
      <c r="S55" s="160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39"/>
      <c r="J56" s="177">
        <f t="shared" si="15"/>
        <v>0</v>
      </c>
      <c r="K56" s="160">
        <f t="shared" si="16"/>
        <v>1</v>
      </c>
      <c r="L56" s="160">
        <f t="shared" si="17"/>
        <v>0</v>
      </c>
      <c r="M56" s="139"/>
      <c r="N56" s="139"/>
      <c r="O56" s="177"/>
      <c r="P56" s="189"/>
      <c r="Q56" s="177">
        <f t="shared" si="7"/>
        <v>0</v>
      </c>
      <c r="R56" s="160">
        <f t="shared" si="8"/>
        <v>1</v>
      </c>
      <c r="S56" s="160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39"/>
      <c r="J57" s="195"/>
      <c r="K57" s="196">
        <f t="shared" si="16"/>
        <v>1</v>
      </c>
      <c r="L57" s="196"/>
      <c r="M57" s="139"/>
      <c r="N57" s="139"/>
      <c r="O57" s="177"/>
      <c r="P57" s="189"/>
      <c r="Q57" s="177">
        <f t="shared" si="7"/>
        <v>0</v>
      </c>
      <c r="R57" s="160">
        <f t="shared" si="8"/>
        <v>1</v>
      </c>
      <c r="S57" s="160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39"/>
      <c r="J58" s="195"/>
      <c r="K58" s="196">
        <f t="shared" si="16"/>
        <v>1</v>
      </c>
      <c r="L58" s="196"/>
      <c r="M58" s="139"/>
      <c r="N58" s="139"/>
      <c r="O58" s="177"/>
      <c r="P58" s="189"/>
      <c r="Q58" s="177">
        <f t="shared" si="7"/>
        <v>0</v>
      </c>
      <c r="R58" s="160">
        <f t="shared" si="8"/>
        <v>1</v>
      </c>
      <c r="S58" s="160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39"/>
      <c r="J59" s="195"/>
      <c r="K59" s="196">
        <f t="shared" si="16"/>
        <v>1</v>
      </c>
      <c r="L59" s="196"/>
      <c r="M59" s="139"/>
      <c r="N59" s="139"/>
      <c r="O59" s="177"/>
      <c r="P59" s="189"/>
      <c r="Q59" s="177">
        <f t="shared" si="7"/>
        <v>0</v>
      </c>
      <c r="R59" s="160">
        <f t="shared" si="8"/>
        <v>1</v>
      </c>
      <c r="S59" s="160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39"/>
      <c r="J60" s="195"/>
      <c r="K60" s="196">
        <f t="shared" si="16"/>
        <v>1</v>
      </c>
      <c r="L60" s="196"/>
      <c r="M60" s="139"/>
      <c r="N60" s="139"/>
      <c r="O60" s="177"/>
      <c r="P60" s="189"/>
      <c r="Q60" s="177">
        <f t="shared" si="7"/>
        <v>0</v>
      </c>
      <c r="R60" s="160">
        <f t="shared" si="8"/>
        <v>1</v>
      </c>
      <c r="S60" s="160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39"/>
      <c r="J61" s="195"/>
      <c r="K61" s="196">
        <f t="shared" si="16"/>
        <v>1</v>
      </c>
      <c r="L61" s="196"/>
      <c r="M61" s="139"/>
      <c r="N61" s="139"/>
      <c r="O61" s="177"/>
      <c r="P61" s="189"/>
      <c r="Q61" s="177">
        <f t="shared" si="7"/>
        <v>0</v>
      </c>
      <c r="R61" s="160">
        <f t="shared" si="8"/>
        <v>1</v>
      </c>
      <c r="S61" s="160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39"/>
      <c r="J62" s="195"/>
      <c r="K62" s="196">
        <f t="shared" si="16"/>
        <v>1</v>
      </c>
      <c r="L62" s="196"/>
      <c r="M62" s="139"/>
      <c r="N62" s="139"/>
      <c r="O62" s="177"/>
      <c r="P62" s="189"/>
      <c r="Q62" s="177">
        <f t="shared" si="7"/>
        <v>0</v>
      </c>
      <c r="R62" s="160">
        <f t="shared" si="8"/>
        <v>1</v>
      </c>
      <c r="S62" s="160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39"/>
      <c r="J63" s="195"/>
      <c r="K63" s="196">
        <f t="shared" si="16"/>
        <v>1</v>
      </c>
      <c r="L63" s="196"/>
      <c r="M63" s="139"/>
      <c r="N63" s="139"/>
      <c r="O63" s="177"/>
      <c r="P63" s="189"/>
      <c r="Q63" s="177">
        <f t="shared" si="7"/>
        <v>0</v>
      </c>
      <c r="R63" s="160">
        <f t="shared" si="8"/>
        <v>1</v>
      </c>
      <c r="S63" s="160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39"/>
      <c r="J64" s="195"/>
      <c r="K64" s="196">
        <f t="shared" si="16"/>
        <v>1</v>
      </c>
      <c r="L64" s="196"/>
      <c r="M64" s="139"/>
      <c r="N64" s="139"/>
      <c r="O64" s="177"/>
      <c r="P64" s="189"/>
      <c r="Q64" s="177">
        <f t="shared" si="7"/>
        <v>0</v>
      </c>
      <c r="R64" s="160">
        <f t="shared" si="8"/>
        <v>1</v>
      </c>
      <c r="S64" s="160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39"/>
      <c r="J65" s="195"/>
      <c r="K65" s="196">
        <f t="shared" si="16"/>
        <v>1</v>
      </c>
      <c r="L65" s="196"/>
      <c r="M65" s="139"/>
      <c r="N65" s="139"/>
      <c r="O65" s="177"/>
      <c r="P65" s="189"/>
      <c r="Q65" s="177">
        <f t="shared" si="7"/>
        <v>0</v>
      </c>
      <c r="R65" s="160">
        <f t="shared" si="8"/>
        <v>1</v>
      </c>
      <c r="S65" s="160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39"/>
      <c r="J66" s="195"/>
      <c r="K66" s="196">
        <f t="shared" si="16"/>
        <v>1</v>
      </c>
      <c r="L66" s="196"/>
      <c r="M66" s="139"/>
      <c r="N66" s="139"/>
      <c r="O66" s="177"/>
      <c r="P66" s="189"/>
      <c r="Q66" s="177">
        <f t="shared" si="7"/>
        <v>0</v>
      </c>
      <c r="R66" s="160">
        <f t="shared" si="8"/>
        <v>1</v>
      </c>
      <c r="S66" s="160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39"/>
      <c r="J67" s="195"/>
      <c r="K67" s="196">
        <f t="shared" si="16"/>
        <v>1</v>
      </c>
      <c r="L67" s="196"/>
      <c r="M67" s="139"/>
      <c r="N67" s="139"/>
      <c r="O67" s="177"/>
      <c r="P67" s="189"/>
      <c r="Q67" s="177">
        <f t="shared" si="7"/>
        <v>0</v>
      </c>
      <c r="R67" s="160">
        <f t="shared" si="8"/>
        <v>1</v>
      </c>
      <c r="S67" s="160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39"/>
      <c r="J68" s="195"/>
      <c r="K68" s="196">
        <f t="shared" si="16"/>
        <v>1</v>
      </c>
      <c r="L68" s="196"/>
      <c r="M68" s="139"/>
      <c r="N68" s="139"/>
      <c r="O68" s="177"/>
      <c r="P68" s="189"/>
      <c r="Q68" s="177">
        <f t="shared" si="7"/>
        <v>0</v>
      </c>
      <c r="R68" s="160">
        <f t="shared" si="8"/>
        <v>1</v>
      </c>
      <c r="S68" s="160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39"/>
      <c r="J69" s="195"/>
      <c r="K69" s="196">
        <f t="shared" si="16"/>
        <v>1</v>
      </c>
      <c r="L69" s="196"/>
      <c r="M69" s="139"/>
      <c r="N69" s="139"/>
      <c r="O69" s="177"/>
      <c r="P69" s="189"/>
      <c r="Q69" s="177">
        <f t="shared" si="7"/>
        <v>0</v>
      </c>
      <c r="R69" s="160">
        <f t="shared" si="8"/>
        <v>1</v>
      </c>
      <c r="S69" s="160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39"/>
      <c r="J70" s="195"/>
      <c r="K70" s="196"/>
      <c r="L70" s="196"/>
      <c r="M70" s="139"/>
      <c r="N70" s="139"/>
      <c r="O70" s="177"/>
      <c r="P70" s="189"/>
      <c r="Q70" s="177">
        <f t="shared" si="7"/>
        <v>0</v>
      </c>
      <c r="R70" s="160">
        <f t="shared" si="8"/>
        <v>1</v>
      </c>
      <c r="S70" s="160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39"/>
      <c r="J71" s="195"/>
      <c r="K71" s="196"/>
      <c r="L71" s="196"/>
      <c r="M71" s="139"/>
      <c r="N71" s="139"/>
      <c r="O71" s="177"/>
      <c r="P71" s="189"/>
      <c r="Q71" s="177">
        <f t="shared" si="7"/>
        <v>0</v>
      </c>
      <c r="R71" s="160">
        <f t="shared" si="8"/>
        <v>1</v>
      </c>
      <c r="S71" s="160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39"/>
      <c r="J72" s="195"/>
      <c r="K72" s="196"/>
      <c r="L72" s="196"/>
      <c r="M72" s="139"/>
      <c r="N72" s="139"/>
      <c r="O72" s="177"/>
      <c r="P72" s="189"/>
      <c r="Q72" s="177">
        <f t="shared" si="7"/>
        <v>0</v>
      </c>
      <c r="R72" s="160">
        <f t="shared" si="8"/>
        <v>1</v>
      </c>
      <c r="S72" s="160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39"/>
      <c r="J73" s="195"/>
      <c r="K73" s="196"/>
      <c r="L73" s="196"/>
      <c r="M73" s="139"/>
      <c r="N73" s="139"/>
      <c r="O73" s="177"/>
      <c r="P73" s="189"/>
      <c r="Q73" s="177">
        <f t="shared" si="7"/>
        <v>0</v>
      </c>
      <c r="R73" s="160">
        <f t="shared" si="8"/>
        <v>1</v>
      </c>
      <c r="S73" s="160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39"/>
      <c r="J74" s="195"/>
      <c r="K74" s="196"/>
      <c r="L74" s="196"/>
      <c r="M74" s="139"/>
      <c r="N74" s="139"/>
      <c r="O74" s="177"/>
      <c r="P74" s="141"/>
      <c r="Q74" s="177">
        <f t="shared" si="7"/>
        <v>0</v>
      </c>
      <c r="R74" s="160">
        <f t="shared" si="8"/>
        <v>1</v>
      </c>
      <c r="S74" s="160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39"/>
      <c r="J75" s="195"/>
      <c r="K75" s="196"/>
      <c r="L75" s="196"/>
      <c r="M75" s="139"/>
      <c r="N75" s="139"/>
      <c r="O75" s="177"/>
      <c r="P75" s="141"/>
      <c r="Q75" s="177">
        <f t="shared" si="7"/>
        <v>0</v>
      </c>
      <c r="R75" s="160">
        <f t="shared" si="8"/>
        <v>1</v>
      </c>
      <c r="S75" s="160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39"/>
      <c r="J76" s="195"/>
      <c r="K76" s="196"/>
      <c r="L76" s="196"/>
      <c r="M76" s="139"/>
      <c r="N76" s="139"/>
      <c r="O76" s="177"/>
      <c r="P76" s="141"/>
      <c r="Q76" s="177">
        <f t="shared" si="7"/>
        <v>0</v>
      </c>
      <c r="R76" s="160">
        <f t="shared" si="8"/>
        <v>1</v>
      </c>
      <c r="S76" s="160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39"/>
      <c r="J77" s="195"/>
      <c r="K77" s="196"/>
      <c r="L77" s="196"/>
      <c r="M77" s="139"/>
      <c r="N77" s="139"/>
      <c r="O77" s="177"/>
      <c r="P77" s="141"/>
      <c r="Q77" s="177">
        <f t="shared" si="7"/>
        <v>0</v>
      </c>
      <c r="R77" s="160">
        <f t="shared" si="8"/>
        <v>1</v>
      </c>
      <c r="S77" s="160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39"/>
      <c r="J78" s="195"/>
      <c r="K78" s="196"/>
      <c r="L78" s="196"/>
      <c r="M78" s="139"/>
      <c r="N78" s="139"/>
      <c r="O78" s="177"/>
      <c r="P78" s="141"/>
      <c r="Q78" s="177">
        <f t="shared" si="7"/>
        <v>0</v>
      </c>
      <c r="R78" s="160">
        <f t="shared" si="8"/>
        <v>1</v>
      </c>
      <c r="S78" s="160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39"/>
      <c r="J79" s="195"/>
      <c r="K79" s="196"/>
      <c r="L79" s="196"/>
      <c r="M79" s="139"/>
      <c r="N79" s="139"/>
      <c r="O79" s="177"/>
      <c r="P79" s="141"/>
      <c r="Q79" s="177">
        <f t="shared" si="7"/>
        <v>0</v>
      </c>
      <c r="R79" s="160">
        <f t="shared" si="8"/>
        <v>1</v>
      </c>
      <c r="S79" s="160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39"/>
      <c r="J80" s="195"/>
      <c r="K80" s="196"/>
      <c r="L80" s="196"/>
      <c r="M80" s="139"/>
      <c r="N80" s="139"/>
      <c r="O80" s="177"/>
      <c r="P80" s="141"/>
      <c r="Q80" s="177">
        <f t="shared" si="7"/>
        <v>0</v>
      </c>
      <c r="R80" s="160">
        <f t="shared" si="8"/>
        <v>1</v>
      </c>
      <c r="S80" s="160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39"/>
      <c r="J81" s="195"/>
      <c r="K81" s="196"/>
      <c r="L81" s="196"/>
      <c r="M81" s="139"/>
      <c r="N81" s="139"/>
      <c r="O81" s="177"/>
      <c r="P81" s="141"/>
      <c r="Q81" s="177">
        <f t="shared" si="7"/>
        <v>0</v>
      </c>
      <c r="R81" s="160">
        <f t="shared" si="8"/>
        <v>1</v>
      </c>
      <c r="S81" s="160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0">
        <v>51.0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39"/>
      <c r="J82" s="195"/>
      <c r="K82" s="196"/>
      <c r="L82" s="196"/>
      <c r="M82" s="139"/>
      <c r="N82" s="139"/>
      <c r="O82" s="177"/>
      <c r="P82" s="141"/>
      <c r="Q82" s="177">
        <f t="shared" si="7"/>
        <v>0</v>
      </c>
      <c r="R82" s="160" t="str">
        <f t="shared" si="8"/>
        <v/>
      </c>
      <c r="S82" s="160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0">
        <v>52.0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39"/>
      <c r="J83" s="195"/>
      <c r="K83" s="196"/>
      <c r="L83" s="196"/>
      <c r="M83" s="139"/>
      <c r="N83" s="139"/>
      <c r="O83" s="177"/>
      <c r="P83" s="141"/>
      <c r="Q83" s="177">
        <f t="shared" si="7"/>
        <v>0</v>
      </c>
      <c r="R83" s="160" t="str">
        <f t="shared" si="8"/>
        <v/>
      </c>
      <c r="S83" s="160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0">
        <v>53.0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39"/>
      <c r="J84" s="195"/>
      <c r="K84" s="196"/>
      <c r="L84" s="196"/>
      <c r="M84" s="139"/>
      <c r="N84" s="139"/>
      <c r="O84" s="177"/>
      <c r="P84" s="141"/>
      <c r="Q84" s="177">
        <f t="shared" si="7"/>
        <v>0</v>
      </c>
      <c r="R84" s="160" t="str">
        <f t="shared" si="8"/>
        <v/>
      </c>
      <c r="S84" s="160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0">
        <v>54.0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39"/>
      <c r="J85" s="195"/>
      <c r="K85" s="196"/>
      <c r="L85" s="196"/>
      <c r="M85" s="139"/>
      <c r="N85" s="139"/>
      <c r="O85" s="177"/>
      <c r="P85" s="141"/>
      <c r="Q85" s="177">
        <f t="shared" si="7"/>
        <v>0</v>
      </c>
      <c r="R85" s="160" t="str">
        <f t="shared" si="8"/>
        <v/>
      </c>
      <c r="S85" s="160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0">
        <v>55.0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39"/>
      <c r="J86" s="195"/>
      <c r="K86" s="196"/>
      <c r="L86" s="196"/>
      <c r="M86" s="139"/>
      <c r="N86" s="139"/>
      <c r="O86" s="177"/>
      <c r="P86" s="141"/>
      <c r="Q86" s="177">
        <f t="shared" si="7"/>
        <v>0</v>
      </c>
      <c r="R86" s="160" t="str">
        <f t="shared" si="8"/>
        <v/>
      </c>
      <c r="S86" s="160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0">
        <v>56.0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39"/>
      <c r="J87" s="195"/>
      <c r="K87" s="196"/>
      <c r="L87" s="196"/>
      <c r="M87" s="139"/>
      <c r="N87" s="139"/>
      <c r="O87" s="177"/>
      <c r="P87" s="141"/>
      <c r="Q87" s="177">
        <f t="shared" si="7"/>
        <v>0</v>
      </c>
      <c r="R87" s="160" t="str">
        <f t="shared" si="8"/>
        <v/>
      </c>
      <c r="S87" s="160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0">
        <v>57.0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39"/>
      <c r="J88" s="195"/>
      <c r="K88" s="196"/>
      <c r="L88" s="196"/>
      <c r="M88" s="139"/>
      <c r="N88" s="139"/>
      <c r="O88" s="177"/>
      <c r="P88" s="141"/>
      <c r="Q88" s="177">
        <f t="shared" si="7"/>
        <v>0</v>
      </c>
      <c r="R88" s="160" t="str">
        <f t="shared" si="8"/>
        <v/>
      </c>
      <c r="S88" s="160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0">
        <v>58.0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39"/>
      <c r="J89" s="195"/>
      <c r="K89" s="196"/>
      <c r="L89" s="196"/>
      <c r="M89" s="139"/>
      <c r="N89" s="139"/>
      <c r="O89" s="177"/>
      <c r="P89" s="141"/>
      <c r="Q89" s="177">
        <f t="shared" si="7"/>
        <v>0</v>
      </c>
      <c r="R89" s="160" t="str">
        <f t="shared" si="8"/>
        <v/>
      </c>
      <c r="S89" s="160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0">
        <v>59.0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39"/>
      <c r="J90" s="195"/>
      <c r="K90" s="196"/>
      <c r="L90" s="196"/>
      <c r="M90" s="139"/>
      <c r="N90" s="139"/>
      <c r="O90" s="177"/>
      <c r="P90" s="141"/>
      <c r="Q90" s="177">
        <f t="shared" si="7"/>
        <v>0</v>
      </c>
      <c r="R90" s="160" t="str">
        <f t="shared" si="8"/>
        <v/>
      </c>
      <c r="S90" s="160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0">
        <v>60.0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39"/>
      <c r="J91" s="177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7"/>
      <c r="P91" s="141"/>
      <c r="Q91" s="177">
        <f t="shared" si="7"/>
        <v>0</v>
      </c>
      <c r="R91" s="160" t="str">
        <f t="shared" si="8"/>
        <v/>
      </c>
      <c r="S91" s="160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0">
        <v>61.0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39"/>
      <c r="J92" s="195">
        <f t="shared" si="75"/>
        <v>0</v>
      </c>
      <c r="K92" s="196" t="str">
        <f t="shared" si="76"/>
        <v/>
      </c>
      <c r="L92" s="196">
        <f t="shared" si="77"/>
        <v>0</v>
      </c>
      <c r="M92" s="139"/>
      <c r="N92" s="139"/>
      <c r="O92" s="177"/>
      <c r="P92" s="141"/>
      <c r="Q92" s="177">
        <f t="shared" si="7"/>
        <v>0</v>
      </c>
      <c r="R92" s="160" t="str">
        <f t="shared" si="8"/>
        <v/>
      </c>
      <c r="S92" s="160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0">
        <v>62.0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39"/>
      <c r="J93" s="195"/>
      <c r="K93" s="196" t="str">
        <f t="shared" si="76"/>
        <v/>
      </c>
      <c r="L93" s="196"/>
      <c r="M93" s="139"/>
      <c r="N93" s="139"/>
      <c r="O93" s="177"/>
      <c r="P93" s="141"/>
      <c r="Q93" s="177">
        <f t="shared" si="7"/>
        <v>0</v>
      </c>
      <c r="R93" s="160" t="str">
        <f t="shared" si="8"/>
        <v/>
      </c>
      <c r="S93" s="160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0">
        <v>63.0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39"/>
      <c r="J94" s="195"/>
      <c r="K94" s="196" t="str">
        <f t="shared" si="76"/>
        <v/>
      </c>
      <c r="L94" s="196"/>
      <c r="M94" s="139"/>
      <c r="N94" s="139"/>
      <c r="O94" s="177"/>
      <c r="P94" s="141"/>
      <c r="Q94" s="177">
        <f t="shared" si="7"/>
        <v>0</v>
      </c>
      <c r="R94" s="160" t="str">
        <f t="shared" si="8"/>
        <v/>
      </c>
      <c r="S94" s="160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0">
        <v>64.0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39"/>
      <c r="J95" s="195"/>
      <c r="K95" s="196" t="str">
        <f t="shared" si="76"/>
        <v/>
      </c>
      <c r="L95" s="196"/>
      <c r="M95" s="139"/>
      <c r="N95" s="139"/>
      <c r="O95" s="177"/>
      <c r="P95" s="141"/>
      <c r="Q95" s="177">
        <f t="shared" si="7"/>
        <v>0</v>
      </c>
      <c r="R95" s="160" t="str">
        <f t="shared" si="8"/>
        <v/>
      </c>
      <c r="S95" s="160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0">
        <v>65.0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39"/>
      <c r="J96" s="195"/>
      <c r="K96" s="196" t="str">
        <f t="shared" si="76"/>
        <v/>
      </c>
      <c r="L96" s="196"/>
      <c r="M96" s="139"/>
      <c r="N96" s="139"/>
      <c r="O96" s="177"/>
      <c r="P96" s="141"/>
      <c r="Q96" s="177">
        <f t="shared" si="7"/>
        <v>0</v>
      </c>
      <c r="R96" s="160" t="str">
        <f t="shared" si="8"/>
        <v/>
      </c>
      <c r="S96" s="160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0">
        <v>66.0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39"/>
      <c r="J97" s="195"/>
      <c r="K97" s="196" t="str">
        <f t="shared" si="76"/>
        <v/>
      </c>
      <c r="L97" s="196"/>
      <c r="M97" s="139"/>
      <c r="N97" s="139"/>
      <c r="O97" s="177"/>
      <c r="P97" s="141"/>
      <c r="Q97" s="177">
        <f t="shared" si="7"/>
        <v>0</v>
      </c>
      <c r="R97" s="160" t="str">
        <f t="shared" si="8"/>
        <v/>
      </c>
      <c r="S97" s="160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0">
        <v>67.0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39"/>
      <c r="J98" s="195"/>
      <c r="K98" s="196" t="str">
        <f t="shared" si="76"/>
        <v/>
      </c>
      <c r="L98" s="196"/>
      <c r="M98" s="139"/>
      <c r="N98" s="139"/>
      <c r="O98" s="177"/>
      <c r="P98" s="141"/>
      <c r="Q98" s="177">
        <f t="shared" si="7"/>
        <v>0</v>
      </c>
      <c r="R98" s="160" t="str">
        <f t="shared" si="8"/>
        <v/>
      </c>
      <c r="S98" s="160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0">
        <v>68.0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39"/>
      <c r="J99" s="195"/>
      <c r="K99" s="196" t="str">
        <f t="shared" si="76"/>
        <v/>
      </c>
      <c r="L99" s="196"/>
      <c r="M99" s="139"/>
      <c r="N99" s="139"/>
      <c r="O99" s="177"/>
      <c r="P99" s="141"/>
      <c r="Q99" s="177">
        <f t="shared" si="7"/>
        <v>0</v>
      </c>
      <c r="R99" s="160" t="str">
        <f t="shared" si="8"/>
        <v/>
      </c>
      <c r="S99" s="160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0">
        <v>69.0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39"/>
      <c r="J100" s="195"/>
      <c r="K100" s="196" t="str">
        <f t="shared" si="76"/>
        <v/>
      </c>
      <c r="L100" s="196"/>
      <c r="M100" s="139"/>
      <c r="N100" s="139"/>
      <c r="O100" s="177"/>
      <c r="P100" s="141"/>
      <c r="Q100" s="177">
        <f t="shared" si="7"/>
        <v>0</v>
      </c>
      <c r="R100" s="160" t="str">
        <f t="shared" si="8"/>
        <v/>
      </c>
      <c r="S100" s="160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0">
        <v>70.0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39"/>
      <c r="J101" s="195"/>
      <c r="K101" s="196" t="str">
        <f t="shared" si="76"/>
        <v/>
      </c>
      <c r="L101" s="196"/>
      <c r="M101" s="139"/>
      <c r="N101" s="139"/>
      <c r="O101" s="177"/>
      <c r="P101" s="141"/>
      <c r="Q101" s="177">
        <f t="shared" si="7"/>
        <v>0</v>
      </c>
      <c r="R101" s="160" t="str">
        <f t="shared" si="8"/>
        <v/>
      </c>
      <c r="S101" s="160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0">
        <v>71.0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39"/>
      <c r="J102" s="195"/>
      <c r="K102" s="196" t="str">
        <f t="shared" si="76"/>
        <v/>
      </c>
      <c r="L102" s="196"/>
      <c r="M102" s="139"/>
      <c r="N102" s="139"/>
      <c r="O102" s="177"/>
      <c r="P102" s="141"/>
      <c r="Q102" s="177">
        <f t="shared" si="7"/>
        <v>0</v>
      </c>
      <c r="R102" s="160" t="str">
        <f t="shared" si="8"/>
        <v/>
      </c>
      <c r="S102" s="160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0">
        <v>72.0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39"/>
      <c r="J103" s="195"/>
      <c r="K103" s="196" t="str">
        <f t="shared" si="76"/>
        <v/>
      </c>
      <c r="L103" s="196"/>
      <c r="M103" s="139"/>
      <c r="N103" s="139"/>
      <c r="O103" s="177"/>
      <c r="P103" s="141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89">C103/100</f>
        <v>0</v>
      </c>
      <c r="V103" s="197">
        <f t="shared" si="89"/>
        <v>0</v>
      </c>
      <c r="W103" s="197">
        <f t="shared" si="12"/>
        <v>0</v>
      </c>
      <c r="X103" s="200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0">
        <v>73.0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39"/>
      <c r="J104" s="195"/>
      <c r="K104" s="196" t="str">
        <f t="shared" si="76"/>
        <v/>
      </c>
      <c r="L104" s="196"/>
      <c r="M104" s="139"/>
      <c r="N104" s="139"/>
      <c r="O104" s="177"/>
      <c r="P104" s="141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0">C104/100</f>
        <v>0</v>
      </c>
      <c r="V104" s="197">
        <f t="shared" si="90"/>
        <v>0</v>
      </c>
      <c r="W104" s="197">
        <f t="shared" si="12"/>
        <v>0</v>
      </c>
      <c r="X104" s="200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0">
        <v>74.0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39"/>
      <c r="J105" s="195"/>
      <c r="K105" s="196" t="str">
        <f t="shared" si="76"/>
        <v/>
      </c>
      <c r="L105" s="196"/>
      <c r="M105" s="139"/>
      <c r="N105" s="139"/>
      <c r="O105" s="177"/>
      <c r="P105" s="141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1">C105/100</f>
        <v>0</v>
      </c>
      <c r="V105" s="197">
        <f t="shared" si="91"/>
        <v>0</v>
      </c>
      <c r="W105" s="197">
        <f t="shared" si="12"/>
        <v>0</v>
      </c>
      <c r="X105" s="200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0">
        <v>75.0</v>
      </c>
      <c r="B106" s="192"/>
      <c r="C106" s="192"/>
      <c r="D106" s="192"/>
      <c r="E106" s="192"/>
      <c r="F106" s="193">
        <f t="shared" si="5"/>
        <v>0</v>
      </c>
      <c r="G106" s="192"/>
      <c r="H106" s="194">
        <f t="shared" si="6"/>
        <v>0</v>
      </c>
      <c r="I106" s="139"/>
      <c r="J106" s="195"/>
      <c r="K106" s="196" t="str">
        <f t="shared" si="76"/>
        <v/>
      </c>
      <c r="L106" s="196"/>
      <c r="M106" s="139"/>
      <c r="N106" s="139"/>
      <c r="O106" s="177"/>
      <c r="P106" s="141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199">
        <f t="shared" si="10"/>
        <v>0</v>
      </c>
      <c r="U106" s="197">
        <f t="shared" ref="U106:V106" si="92">C106/100</f>
        <v>0</v>
      </c>
      <c r="V106" s="197">
        <f t="shared" si="92"/>
        <v>0</v>
      </c>
      <c r="W106" s="197">
        <f t="shared" si="12"/>
        <v>0</v>
      </c>
      <c r="X106" s="200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0">
        <v>76.0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39"/>
      <c r="J107" s="195"/>
      <c r="K107" s="196"/>
      <c r="L107" s="196"/>
      <c r="M107" s="139"/>
      <c r="N107" s="139"/>
      <c r="O107" s="194"/>
      <c r="P107" s="141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3">C107/100</f>
        <v>0</v>
      </c>
      <c r="V107" s="197">
        <f t="shared" si="93"/>
        <v>0</v>
      </c>
      <c r="W107" s="197">
        <f t="shared" si="12"/>
        <v>0</v>
      </c>
      <c r="X107" s="200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0">
        <v>77.0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39"/>
      <c r="J108" s="195"/>
      <c r="K108" s="196"/>
      <c r="L108" s="196"/>
      <c r="M108" s="139"/>
      <c r="N108" s="139"/>
      <c r="O108" s="194"/>
      <c r="P108" s="141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4">C108/100</f>
        <v>0</v>
      </c>
      <c r="V108" s="197">
        <f t="shared" si="94"/>
        <v>0</v>
      </c>
      <c r="W108" s="197">
        <f t="shared" si="12"/>
        <v>0</v>
      </c>
      <c r="X108" s="200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0">
        <v>78.0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39"/>
      <c r="J109" s="195"/>
      <c r="K109" s="196"/>
      <c r="L109" s="196"/>
      <c r="M109" s="139"/>
      <c r="N109" s="139"/>
      <c r="O109" s="194"/>
      <c r="P109" s="141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5">C109/100</f>
        <v>0</v>
      </c>
      <c r="V109" s="197">
        <f t="shared" si="95"/>
        <v>0</v>
      </c>
      <c r="W109" s="197">
        <f t="shared" si="12"/>
        <v>0</v>
      </c>
      <c r="X109" s="200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0">
        <v>79.0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39"/>
      <c r="J110" s="195"/>
      <c r="K110" s="196"/>
      <c r="L110" s="196"/>
      <c r="M110" s="139"/>
      <c r="N110" s="139"/>
      <c r="O110" s="194"/>
      <c r="P110" s="141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6">C110/100</f>
        <v>0</v>
      </c>
      <c r="V110" s="197">
        <f t="shared" si="96"/>
        <v>0</v>
      </c>
      <c r="W110" s="197">
        <f t="shared" si="12"/>
        <v>0</v>
      </c>
      <c r="X110" s="200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0">
        <v>80.0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39"/>
      <c r="J111" s="195"/>
      <c r="K111" s="196"/>
      <c r="L111" s="196"/>
      <c r="M111" s="139"/>
      <c r="N111" s="139"/>
      <c r="O111" s="194"/>
      <c r="P111" s="141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7">C111/100</f>
        <v>0</v>
      </c>
      <c r="V111" s="197">
        <f t="shared" si="97"/>
        <v>0</v>
      </c>
      <c r="W111" s="197">
        <f t="shared" si="12"/>
        <v>0</v>
      </c>
      <c r="X111" s="200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0">
        <v>81.0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39"/>
      <c r="J112" s="195"/>
      <c r="K112" s="196"/>
      <c r="L112" s="196"/>
      <c r="M112" s="139"/>
      <c r="N112" s="139"/>
      <c r="O112" s="194"/>
      <c r="P112" s="141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8">C112/100</f>
        <v>0</v>
      </c>
      <c r="V112" s="197">
        <f t="shared" si="98"/>
        <v>0</v>
      </c>
      <c r="W112" s="197">
        <f t="shared" si="12"/>
        <v>0</v>
      </c>
      <c r="X112" s="200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0">
        <v>82.0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39"/>
      <c r="J113" s="195"/>
      <c r="K113" s="196"/>
      <c r="L113" s="196"/>
      <c r="M113" s="139"/>
      <c r="N113" s="139"/>
      <c r="O113" s="194"/>
      <c r="P113" s="141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99">C113/100</f>
        <v>0</v>
      </c>
      <c r="V113" s="197">
        <f t="shared" si="99"/>
        <v>0</v>
      </c>
      <c r="W113" s="197">
        <f t="shared" si="12"/>
        <v>0</v>
      </c>
      <c r="X113" s="200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0">
        <v>83.0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39"/>
      <c r="J114" s="195"/>
      <c r="K114" s="196"/>
      <c r="L114" s="196"/>
      <c r="M114" s="139"/>
      <c r="N114" s="139"/>
      <c r="O114" s="194"/>
      <c r="P114" s="141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0">C114/100</f>
        <v>0</v>
      </c>
      <c r="V114" s="197">
        <f t="shared" si="100"/>
        <v>0</v>
      </c>
      <c r="W114" s="197">
        <f t="shared" si="12"/>
        <v>0</v>
      </c>
      <c r="X114" s="200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0">
        <v>84.0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39"/>
      <c r="J115" s="195"/>
      <c r="K115" s="196"/>
      <c r="L115" s="196"/>
      <c r="M115" s="139"/>
      <c r="N115" s="139"/>
      <c r="O115" s="194"/>
      <c r="P115" s="141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1">C115/100</f>
        <v>0</v>
      </c>
      <c r="V115" s="197">
        <f t="shared" si="101"/>
        <v>0</v>
      </c>
      <c r="W115" s="197">
        <f t="shared" si="12"/>
        <v>0</v>
      </c>
      <c r="X115" s="200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0">
        <v>85.0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39"/>
      <c r="J116" s="195"/>
      <c r="K116" s="196"/>
      <c r="L116" s="196"/>
      <c r="M116" s="139"/>
      <c r="N116" s="139"/>
      <c r="O116" s="194"/>
      <c r="P116" s="141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2">C116/100</f>
        <v>0</v>
      </c>
      <c r="V116" s="197">
        <f t="shared" si="102"/>
        <v>0</v>
      </c>
      <c r="W116" s="197">
        <f t="shared" si="12"/>
        <v>0</v>
      </c>
      <c r="X116" s="200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0">
        <v>86.0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39"/>
      <c r="J117" s="195"/>
      <c r="K117" s="196"/>
      <c r="L117" s="196"/>
      <c r="M117" s="139"/>
      <c r="N117" s="139"/>
      <c r="O117" s="194"/>
      <c r="P117" s="141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3">C117/100</f>
        <v>0</v>
      </c>
      <c r="V117" s="197">
        <f t="shared" si="103"/>
        <v>0</v>
      </c>
      <c r="W117" s="197">
        <f t="shared" si="12"/>
        <v>0</v>
      </c>
      <c r="X117" s="200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0">
        <v>87.0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39"/>
      <c r="J118" s="195"/>
      <c r="K118" s="196"/>
      <c r="L118" s="196"/>
      <c r="M118" s="139"/>
      <c r="N118" s="139"/>
      <c r="O118" s="194"/>
      <c r="P118" s="141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4">C118/100</f>
        <v>0</v>
      </c>
      <c r="V118" s="197">
        <f t="shared" si="104"/>
        <v>0</v>
      </c>
      <c r="W118" s="197">
        <f t="shared" si="12"/>
        <v>0</v>
      </c>
      <c r="X118" s="200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0">
        <v>88.0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39"/>
      <c r="J119" s="195"/>
      <c r="K119" s="196"/>
      <c r="L119" s="196"/>
      <c r="M119" s="139"/>
      <c r="N119" s="139"/>
      <c r="O119" s="194"/>
      <c r="P119" s="141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5">C119/100</f>
        <v>0</v>
      </c>
      <c r="V119" s="197">
        <f t="shared" si="105"/>
        <v>0</v>
      </c>
      <c r="W119" s="197">
        <f t="shared" si="12"/>
        <v>0</v>
      </c>
      <c r="X119" s="200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0">
        <v>89.0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39"/>
      <c r="J120" s="195"/>
      <c r="K120" s="196"/>
      <c r="L120" s="196"/>
      <c r="M120" s="139"/>
      <c r="N120" s="139"/>
      <c r="O120" s="194"/>
      <c r="P120" s="141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6">C120/100</f>
        <v>0</v>
      </c>
      <c r="V120" s="197">
        <f t="shared" si="106"/>
        <v>0</v>
      </c>
      <c r="W120" s="197">
        <f t="shared" si="12"/>
        <v>0</v>
      </c>
      <c r="X120" s="200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0">
        <v>90.0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39"/>
      <c r="J121" s="195"/>
      <c r="K121" s="196"/>
      <c r="L121" s="196"/>
      <c r="M121" s="139"/>
      <c r="N121" s="139"/>
      <c r="O121" s="194"/>
      <c r="P121" s="141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7">C121/100</f>
        <v>0</v>
      </c>
      <c r="V121" s="197">
        <f t="shared" si="107"/>
        <v>0</v>
      </c>
      <c r="W121" s="197">
        <f t="shared" si="12"/>
        <v>0</v>
      </c>
      <c r="X121" s="200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0">
        <v>91.0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39"/>
      <c r="J122" s="195"/>
      <c r="K122" s="196"/>
      <c r="L122" s="196"/>
      <c r="M122" s="139"/>
      <c r="N122" s="139"/>
      <c r="O122" s="194"/>
      <c r="P122" s="141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8">C122/100</f>
        <v>0</v>
      </c>
      <c r="V122" s="197">
        <f t="shared" si="108"/>
        <v>0</v>
      </c>
      <c r="W122" s="197">
        <f t="shared" si="12"/>
        <v>0</v>
      </c>
      <c r="X122" s="200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0">
        <v>92.0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39"/>
      <c r="J123" s="195"/>
      <c r="K123" s="196"/>
      <c r="L123" s="196"/>
      <c r="M123" s="139"/>
      <c r="N123" s="139"/>
      <c r="O123" s="194"/>
      <c r="P123" s="141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09">C123/100</f>
        <v>0</v>
      </c>
      <c r="V123" s="197">
        <f t="shared" si="109"/>
        <v>0</v>
      </c>
      <c r="W123" s="197">
        <f t="shared" si="12"/>
        <v>0</v>
      </c>
      <c r="X123" s="200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0">
        <v>93.0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39"/>
      <c r="J124" s="195"/>
      <c r="K124" s="196"/>
      <c r="L124" s="196"/>
      <c r="M124" s="139"/>
      <c r="N124" s="139"/>
      <c r="O124" s="194"/>
      <c r="P124" s="141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0">C124/100</f>
        <v>0</v>
      </c>
      <c r="V124" s="197">
        <f t="shared" si="110"/>
        <v>0</v>
      </c>
      <c r="W124" s="197">
        <f t="shared" si="12"/>
        <v>0</v>
      </c>
      <c r="X124" s="200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0">
        <v>94.0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39"/>
      <c r="J125" s="195"/>
      <c r="K125" s="196"/>
      <c r="L125" s="196"/>
      <c r="M125" s="139"/>
      <c r="N125" s="139"/>
      <c r="O125" s="194"/>
      <c r="P125" s="141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1">C125/100</f>
        <v>0</v>
      </c>
      <c r="V125" s="197">
        <f t="shared" si="111"/>
        <v>0</v>
      </c>
      <c r="W125" s="197">
        <f t="shared" si="12"/>
        <v>0</v>
      </c>
      <c r="X125" s="200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0">
        <v>95.0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39"/>
      <c r="J126" s="195"/>
      <c r="K126" s="196"/>
      <c r="L126" s="196"/>
      <c r="M126" s="139"/>
      <c r="N126" s="139"/>
      <c r="O126" s="194"/>
      <c r="P126" s="141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2">C126/100</f>
        <v>0</v>
      </c>
      <c r="V126" s="197">
        <f t="shared" si="112"/>
        <v>0</v>
      </c>
      <c r="W126" s="197">
        <f t="shared" si="12"/>
        <v>0</v>
      </c>
      <c r="X126" s="200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0">
        <v>96.0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39"/>
      <c r="J127" s="195"/>
      <c r="K127" s="196"/>
      <c r="L127" s="196"/>
      <c r="M127" s="139"/>
      <c r="N127" s="139"/>
      <c r="O127" s="194"/>
      <c r="P127" s="141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3">C127/100</f>
        <v>0</v>
      </c>
      <c r="V127" s="197">
        <f t="shared" si="113"/>
        <v>0</v>
      </c>
      <c r="W127" s="197">
        <f t="shared" si="12"/>
        <v>0</v>
      </c>
      <c r="X127" s="200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0">
        <v>97.0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39"/>
      <c r="J128" s="195"/>
      <c r="K128" s="196"/>
      <c r="L128" s="196"/>
      <c r="M128" s="139"/>
      <c r="N128" s="139"/>
      <c r="O128" s="194"/>
      <c r="P128" s="141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4">C128/100</f>
        <v>0</v>
      </c>
      <c r="V128" s="197">
        <f t="shared" si="114"/>
        <v>0</v>
      </c>
      <c r="W128" s="197">
        <f t="shared" si="12"/>
        <v>0</v>
      </c>
      <c r="X128" s="200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0">
        <v>98.0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39"/>
      <c r="J129" s="195"/>
      <c r="K129" s="196"/>
      <c r="L129" s="196"/>
      <c r="M129" s="139"/>
      <c r="N129" s="139"/>
      <c r="O129" s="194"/>
      <c r="P129" s="141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5">C129/100</f>
        <v>0</v>
      </c>
      <c r="V129" s="197">
        <f t="shared" si="115"/>
        <v>0</v>
      </c>
      <c r="W129" s="197">
        <f t="shared" si="12"/>
        <v>0</v>
      </c>
      <c r="X129" s="200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0">
        <v>99.0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39"/>
      <c r="J130" s="195"/>
      <c r="K130" s="196"/>
      <c r="L130" s="196"/>
      <c r="M130" s="139"/>
      <c r="N130" s="139"/>
      <c r="O130" s="194"/>
      <c r="P130" s="141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6">C130/100</f>
        <v>0</v>
      </c>
      <c r="V130" s="197">
        <f t="shared" si="116"/>
        <v>0</v>
      </c>
      <c r="W130" s="197">
        <f t="shared" si="12"/>
        <v>0</v>
      </c>
      <c r="X130" s="200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0">
        <v>100.0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39"/>
      <c r="J131" s="195"/>
      <c r="K131" s="196"/>
      <c r="L131" s="196"/>
      <c r="M131" s="139"/>
      <c r="N131" s="139"/>
      <c r="O131" s="194"/>
      <c r="P131" s="141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7">C131/100</f>
        <v>0</v>
      </c>
      <c r="V131" s="197">
        <f t="shared" si="117"/>
        <v>0</v>
      </c>
      <c r="W131" s="197">
        <f t="shared" si="12"/>
        <v>0</v>
      </c>
      <c r="X131" s="200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0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39"/>
      <c r="J132" s="195"/>
      <c r="K132" s="196"/>
      <c r="L132" s="196"/>
      <c r="M132" s="139"/>
      <c r="N132" s="139"/>
      <c r="O132" s="194"/>
      <c r="P132" s="141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8">C132/100</f>
        <v>0</v>
      </c>
      <c r="V132" s="197">
        <f t="shared" si="118"/>
        <v>0</v>
      </c>
      <c r="W132" s="197">
        <f t="shared" si="12"/>
        <v>0</v>
      </c>
      <c r="X132" s="200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0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39"/>
      <c r="J133" s="195"/>
      <c r="K133" s="196"/>
      <c r="L133" s="196"/>
      <c r="M133" s="139"/>
      <c r="N133" s="139"/>
      <c r="O133" s="194"/>
      <c r="P133" s="141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19">C133/100</f>
        <v>0</v>
      </c>
      <c r="V133" s="197">
        <f t="shared" si="119"/>
        <v>0</v>
      </c>
      <c r="W133" s="197">
        <f t="shared" si="12"/>
        <v>0</v>
      </c>
      <c r="X133" s="200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0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39"/>
      <c r="J134" s="195"/>
      <c r="K134" s="196"/>
      <c r="L134" s="196"/>
      <c r="M134" s="139"/>
      <c r="N134" s="139"/>
      <c r="O134" s="194"/>
      <c r="P134" s="141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0">C134/100</f>
        <v>0</v>
      </c>
      <c r="V134" s="197">
        <f t="shared" si="120"/>
        <v>0</v>
      </c>
      <c r="W134" s="197">
        <f t="shared" si="12"/>
        <v>0</v>
      </c>
      <c r="X134" s="200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0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39"/>
      <c r="J135" s="195"/>
      <c r="K135" s="196"/>
      <c r="L135" s="196"/>
      <c r="M135" s="139"/>
      <c r="N135" s="139"/>
      <c r="O135" s="194"/>
      <c r="P135" s="141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1">C135/100</f>
        <v>0</v>
      </c>
      <c r="V135" s="197">
        <f t="shared" si="121"/>
        <v>0</v>
      </c>
      <c r="W135" s="197">
        <f t="shared" si="12"/>
        <v>0</v>
      </c>
      <c r="X135" s="200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0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39"/>
      <c r="J136" s="195"/>
      <c r="K136" s="196"/>
      <c r="L136" s="196"/>
      <c r="M136" s="139"/>
      <c r="N136" s="139"/>
      <c r="O136" s="194"/>
      <c r="P136" s="141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2">C136/100</f>
        <v>0</v>
      </c>
      <c r="V136" s="197">
        <f t="shared" si="122"/>
        <v>0</v>
      </c>
      <c r="W136" s="197">
        <f t="shared" si="12"/>
        <v>0</v>
      </c>
      <c r="X136" s="200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0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39"/>
      <c r="J137" s="195"/>
      <c r="K137" s="196"/>
      <c r="L137" s="196"/>
      <c r="M137" s="139"/>
      <c r="N137" s="139"/>
      <c r="O137" s="194"/>
      <c r="P137" s="141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3">C137/100</f>
        <v>0</v>
      </c>
      <c r="V137" s="197">
        <f t="shared" si="123"/>
        <v>0</v>
      </c>
      <c r="W137" s="197">
        <f t="shared" si="12"/>
        <v>0</v>
      </c>
      <c r="X137" s="200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0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39"/>
      <c r="J138" s="195"/>
      <c r="K138" s="196"/>
      <c r="L138" s="196"/>
      <c r="M138" s="139"/>
      <c r="N138" s="139"/>
      <c r="O138" s="194"/>
      <c r="P138" s="141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4">C138/100</f>
        <v>0</v>
      </c>
      <c r="V138" s="197">
        <f t="shared" si="124"/>
        <v>0</v>
      </c>
      <c r="W138" s="197">
        <f t="shared" si="12"/>
        <v>0</v>
      </c>
      <c r="X138" s="200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0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39"/>
      <c r="J139" s="195"/>
      <c r="K139" s="196"/>
      <c r="L139" s="196"/>
      <c r="M139" s="139"/>
      <c r="N139" s="139"/>
      <c r="O139" s="194"/>
      <c r="P139" s="141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5">C139/100</f>
        <v>0</v>
      </c>
      <c r="V139" s="197">
        <f t="shared" si="125"/>
        <v>0</v>
      </c>
      <c r="W139" s="197">
        <f t="shared" si="12"/>
        <v>0</v>
      </c>
      <c r="X139" s="200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0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39"/>
      <c r="J140" s="195"/>
      <c r="K140" s="196"/>
      <c r="L140" s="196"/>
      <c r="M140" s="139"/>
      <c r="N140" s="139"/>
      <c r="O140" s="194"/>
      <c r="P140" s="141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6">C140/100</f>
        <v>0</v>
      </c>
      <c r="V140" s="197">
        <f t="shared" si="126"/>
        <v>0</v>
      </c>
      <c r="W140" s="197">
        <f t="shared" si="12"/>
        <v>0</v>
      </c>
      <c r="X140" s="200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0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39"/>
      <c r="J141" s="195"/>
      <c r="K141" s="196"/>
      <c r="L141" s="196"/>
      <c r="M141" s="139"/>
      <c r="N141" s="139"/>
      <c r="O141" s="194"/>
      <c r="P141" s="141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7">C141/100</f>
        <v>0</v>
      </c>
      <c r="V141" s="197">
        <f t="shared" si="127"/>
        <v>0</v>
      </c>
      <c r="W141" s="197">
        <f t="shared" si="12"/>
        <v>0</v>
      </c>
      <c r="X141" s="200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0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39"/>
      <c r="J142" s="195"/>
      <c r="K142" s="196"/>
      <c r="L142" s="196"/>
      <c r="M142" s="139"/>
      <c r="N142" s="139"/>
      <c r="O142" s="194"/>
      <c r="P142" s="141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8">C142/100</f>
        <v>0</v>
      </c>
      <c r="V142" s="197">
        <f t="shared" si="128"/>
        <v>0</v>
      </c>
      <c r="W142" s="197">
        <f t="shared" si="12"/>
        <v>0</v>
      </c>
      <c r="X142" s="200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0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39"/>
      <c r="J143" s="195"/>
      <c r="K143" s="196"/>
      <c r="L143" s="196"/>
      <c r="M143" s="139"/>
      <c r="N143" s="139"/>
      <c r="O143" s="194"/>
      <c r="P143" s="141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29">C143/100</f>
        <v>0</v>
      </c>
      <c r="V143" s="197">
        <f t="shared" si="129"/>
        <v>0</v>
      </c>
      <c r="W143" s="197">
        <f t="shared" si="12"/>
        <v>0</v>
      </c>
      <c r="X143" s="200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0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39"/>
      <c r="J144" s="195"/>
      <c r="K144" s="196"/>
      <c r="L144" s="196"/>
      <c r="M144" s="139"/>
      <c r="N144" s="139"/>
      <c r="O144" s="194"/>
      <c r="P144" s="141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0">C144/100</f>
        <v>0</v>
      </c>
      <c r="V144" s="197">
        <f t="shared" si="130"/>
        <v>0</v>
      </c>
      <c r="W144" s="197">
        <f t="shared" si="12"/>
        <v>0</v>
      </c>
      <c r="X144" s="200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0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39"/>
      <c r="J145" s="195"/>
      <c r="K145" s="196"/>
      <c r="L145" s="196"/>
      <c r="M145" s="139"/>
      <c r="N145" s="139"/>
      <c r="O145" s="194"/>
      <c r="P145" s="141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1">C145/100</f>
        <v>0</v>
      </c>
      <c r="V145" s="197">
        <f t="shared" si="131"/>
        <v>0</v>
      </c>
      <c r="W145" s="197">
        <f t="shared" si="12"/>
        <v>0</v>
      </c>
      <c r="X145" s="200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0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39"/>
      <c r="J146" s="195"/>
      <c r="K146" s="196"/>
      <c r="L146" s="196"/>
      <c r="M146" s="139"/>
      <c r="N146" s="139"/>
      <c r="O146" s="194"/>
      <c r="P146" s="141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2">C146/100</f>
        <v>0</v>
      </c>
      <c r="V146" s="197">
        <f t="shared" si="132"/>
        <v>0</v>
      </c>
      <c r="W146" s="197">
        <f t="shared" si="12"/>
        <v>0</v>
      </c>
      <c r="X146" s="200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0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39"/>
      <c r="J147" s="195"/>
      <c r="K147" s="196"/>
      <c r="L147" s="196"/>
      <c r="M147" s="139"/>
      <c r="N147" s="139"/>
      <c r="O147" s="194"/>
      <c r="P147" s="141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3">C147/100</f>
        <v>0</v>
      </c>
      <c r="V147" s="197">
        <f t="shared" si="133"/>
        <v>0</v>
      </c>
      <c r="W147" s="197">
        <f t="shared" si="12"/>
        <v>0</v>
      </c>
      <c r="X147" s="200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0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39"/>
      <c r="J148" s="195"/>
      <c r="K148" s="196"/>
      <c r="L148" s="196"/>
      <c r="M148" s="139"/>
      <c r="N148" s="139"/>
      <c r="O148" s="194"/>
      <c r="P148" s="141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4">C148/100</f>
        <v>0</v>
      </c>
      <c r="V148" s="197">
        <f t="shared" si="134"/>
        <v>0</v>
      </c>
      <c r="W148" s="197">
        <f t="shared" si="12"/>
        <v>0</v>
      </c>
      <c r="X148" s="200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0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39"/>
      <c r="J149" s="195"/>
      <c r="K149" s="196"/>
      <c r="L149" s="196"/>
      <c r="M149" s="139"/>
      <c r="N149" s="139"/>
      <c r="O149" s="194"/>
      <c r="P149" s="141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5">C149/100</f>
        <v>0</v>
      </c>
      <c r="V149" s="197">
        <f t="shared" si="135"/>
        <v>0</v>
      </c>
      <c r="W149" s="197">
        <f t="shared" si="12"/>
        <v>0</v>
      </c>
      <c r="X149" s="200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0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39"/>
      <c r="J150" s="195"/>
      <c r="K150" s="196"/>
      <c r="L150" s="196"/>
      <c r="M150" s="139"/>
      <c r="N150" s="139"/>
      <c r="O150" s="194"/>
      <c r="P150" s="141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6">C150/100</f>
        <v>0</v>
      </c>
      <c r="V150" s="197">
        <f t="shared" si="136"/>
        <v>0</v>
      </c>
      <c r="W150" s="197">
        <f t="shared" si="12"/>
        <v>0</v>
      </c>
      <c r="X150" s="200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0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39"/>
      <c r="J151" s="195"/>
      <c r="K151" s="196"/>
      <c r="L151" s="196"/>
      <c r="M151" s="139"/>
      <c r="N151" s="139"/>
      <c r="O151" s="194"/>
      <c r="P151" s="141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7">C151/100</f>
        <v>0</v>
      </c>
      <c r="V151" s="197">
        <f t="shared" si="137"/>
        <v>0</v>
      </c>
      <c r="W151" s="197">
        <f t="shared" si="12"/>
        <v>0</v>
      </c>
      <c r="X151" s="200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0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39"/>
      <c r="J152" s="195"/>
      <c r="K152" s="196"/>
      <c r="L152" s="196"/>
      <c r="M152" s="139"/>
      <c r="N152" s="139"/>
      <c r="O152" s="194"/>
      <c r="P152" s="141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8">C152/100</f>
        <v>0</v>
      </c>
      <c r="V152" s="197">
        <f t="shared" si="138"/>
        <v>0</v>
      </c>
      <c r="W152" s="197">
        <f t="shared" si="12"/>
        <v>0</v>
      </c>
      <c r="X152" s="200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0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39"/>
      <c r="J153" s="195"/>
      <c r="K153" s="196"/>
      <c r="L153" s="196"/>
      <c r="M153" s="139"/>
      <c r="N153" s="139"/>
      <c r="O153" s="194"/>
      <c r="P153" s="141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39">C153/100</f>
        <v>0</v>
      </c>
      <c r="V153" s="197">
        <f t="shared" si="139"/>
        <v>0</v>
      </c>
      <c r="W153" s="197">
        <f t="shared" si="12"/>
        <v>0</v>
      </c>
      <c r="X153" s="200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0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39"/>
      <c r="J154" s="195"/>
      <c r="K154" s="196"/>
      <c r="L154" s="196"/>
      <c r="M154" s="139"/>
      <c r="N154" s="139"/>
      <c r="O154" s="194"/>
      <c r="P154" s="141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0">C154/100</f>
        <v>0</v>
      </c>
      <c r="V154" s="197">
        <f t="shared" si="140"/>
        <v>0</v>
      </c>
      <c r="W154" s="197">
        <f t="shared" si="12"/>
        <v>0</v>
      </c>
      <c r="X154" s="200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0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39"/>
      <c r="J155" s="195"/>
      <c r="K155" s="196"/>
      <c r="L155" s="196"/>
      <c r="M155" s="139"/>
      <c r="N155" s="139"/>
      <c r="O155" s="194"/>
      <c r="P155" s="141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1">C155/100</f>
        <v>0</v>
      </c>
      <c r="V155" s="197">
        <f t="shared" si="141"/>
        <v>0</v>
      </c>
      <c r="W155" s="197">
        <f t="shared" si="12"/>
        <v>0</v>
      </c>
      <c r="X155" s="200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0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39"/>
      <c r="J156" s="195"/>
      <c r="K156" s="196"/>
      <c r="L156" s="196"/>
      <c r="M156" s="139"/>
      <c r="N156" s="139"/>
      <c r="O156" s="194"/>
      <c r="P156" s="141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2">C156/100</f>
        <v>0</v>
      </c>
      <c r="V156" s="197">
        <f t="shared" si="142"/>
        <v>0</v>
      </c>
      <c r="W156" s="197">
        <f t="shared" si="12"/>
        <v>0</v>
      </c>
      <c r="X156" s="200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0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39"/>
      <c r="J157" s="195"/>
      <c r="K157" s="196"/>
      <c r="L157" s="196"/>
      <c r="M157" s="139"/>
      <c r="N157" s="139"/>
      <c r="O157" s="194"/>
      <c r="P157" s="141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3">C157/100</f>
        <v>0</v>
      </c>
      <c r="V157" s="197">
        <f t="shared" si="143"/>
        <v>0</v>
      </c>
      <c r="W157" s="197">
        <f t="shared" si="12"/>
        <v>0</v>
      </c>
      <c r="X157" s="200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0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39"/>
      <c r="J158" s="195"/>
      <c r="K158" s="196"/>
      <c r="L158" s="196"/>
      <c r="M158" s="139"/>
      <c r="N158" s="139"/>
      <c r="O158" s="194"/>
      <c r="P158" s="141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4">C158/100</f>
        <v>0</v>
      </c>
      <c r="V158" s="197">
        <f t="shared" si="144"/>
        <v>0</v>
      </c>
      <c r="W158" s="197">
        <f t="shared" si="12"/>
        <v>0</v>
      </c>
      <c r="X158" s="200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0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39"/>
      <c r="J159" s="195"/>
      <c r="K159" s="196"/>
      <c r="L159" s="196"/>
      <c r="M159" s="139"/>
      <c r="N159" s="139"/>
      <c r="O159" s="194"/>
      <c r="P159" s="141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5">C159/100</f>
        <v>0</v>
      </c>
      <c r="V159" s="197">
        <f t="shared" si="145"/>
        <v>0</v>
      </c>
      <c r="W159" s="197">
        <f t="shared" si="12"/>
        <v>0</v>
      </c>
      <c r="X159" s="200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0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39"/>
      <c r="J160" s="195"/>
      <c r="K160" s="196"/>
      <c r="L160" s="196"/>
      <c r="M160" s="139"/>
      <c r="N160" s="139"/>
      <c r="O160" s="194"/>
      <c r="P160" s="141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6">C160/100</f>
        <v>0</v>
      </c>
      <c r="V160" s="197">
        <f t="shared" si="146"/>
        <v>0</v>
      </c>
      <c r="W160" s="197">
        <f t="shared" si="12"/>
        <v>0</v>
      </c>
      <c r="X160" s="200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0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39"/>
      <c r="J161" s="195"/>
      <c r="K161" s="196"/>
      <c r="L161" s="196"/>
      <c r="M161" s="139"/>
      <c r="N161" s="139"/>
      <c r="O161" s="194"/>
      <c r="P161" s="141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7">C161/100</f>
        <v>0</v>
      </c>
      <c r="V161" s="197">
        <f t="shared" si="147"/>
        <v>0</v>
      </c>
      <c r="W161" s="197">
        <f t="shared" si="12"/>
        <v>0</v>
      </c>
      <c r="X161" s="200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0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39"/>
      <c r="J162" s="195"/>
      <c r="K162" s="196"/>
      <c r="L162" s="196"/>
      <c r="M162" s="139"/>
      <c r="N162" s="139"/>
      <c r="O162" s="194"/>
      <c r="P162" s="141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8">C162/100</f>
        <v>0</v>
      </c>
      <c r="V162" s="197">
        <f t="shared" si="148"/>
        <v>0</v>
      </c>
      <c r="W162" s="197">
        <f t="shared" si="12"/>
        <v>0</v>
      </c>
      <c r="X162" s="200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0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39"/>
      <c r="J163" s="195"/>
      <c r="K163" s="196"/>
      <c r="L163" s="196"/>
      <c r="M163" s="139"/>
      <c r="N163" s="139"/>
      <c r="O163" s="194"/>
      <c r="P163" s="141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49">C163/100</f>
        <v>0</v>
      </c>
      <c r="V163" s="197">
        <f t="shared" si="149"/>
        <v>0</v>
      </c>
      <c r="W163" s="197">
        <f t="shared" si="12"/>
        <v>0</v>
      </c>
      <c r="X163" s="200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0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39"/>
      <c r="J164" s="195"/>
      <c r="K164" s="196"/>
      <c r="L164" s="196"/>
      <c r="M164" s="139"/>
      <c r="N164" s="139"/>
      <c r="O164" s="194"/>
      <c r="P164" s="141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0">C164/100</f>
        <v>0</v>
      </c>
      <c r="V164" s="197">
        <f t="shared" si="150"/>
        <v>0</v>
      </c>
      <c r="W164" s="197">
        <f t="shared" si="12"/>
        <v>0</v>
      </c>
      <c r="X164" s="200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0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39"/>
      <c r="J165" s="195"/>
      <c r="K165" s="196"/>
      <c r="L165" s="196"/>
      <c r="M165" s="139"/>
      <c r="N165" s="139"/>
      <c r="O165" s="194"/>
      <c r="P165" s="141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1">C165/100</f>
        <v>0</v>
      </c>
      <c r="V165" s="197">
        <f t="shared" si="151"/>
        <v>0</v>
      </c>
      <c r="W165" s="197">
        <f t="shared" si="12"/>
        <v>0</v>
      </c>
      <c r="X165" s="200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0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39"/>
      <c r="J166" s="195"/>
      <c r="K166" s="196"/>
      <c r="L166" s="196"/>
      <c r="M166" s="139"/>
      <c r="N166" s="139"/>
      <c r="O166" s="194"/>
      <c r="P166" s="141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2">C166/100</f>
        <v>0</v>
      </c>
      <c r="V166" s="197">
        <f t="shared" si="152"/>
        <v>0</v>
      </c>
      <c r="W166" s="197">
        <f t="shared" si="12"/>
        <v>0</v>
      </c>
      <c r="X166" s="200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0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39"/>
      <c r="J167" s="195"/>
      <c r="K167" s="196"/>
      <c r="L167" s="196"/>
      <c r="M167" s="139"/>
      <c r="N167" s="139"/>
      <c r="O167" s="194"/>
      <c r="P167" s="141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3">C167/100</f>
        <v>0</v>
      </c>
      <c r="V167" s="197">
        <f t="shared" si="153"/>
        <v>0</v>
      </c>
      <c r="W167" s="197">
        <f t="shared" si="12"/>
        <v>0</v>
      </c>
      <c r="X167" s="200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0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39"/>
      <c r="J168" s="195"/>
      <c r="K168" s="196"/>
      <c r="L168" s="196"/>
      <c r="M168" s="139"/>
      <c r="N168" s="139"/>
      <c r="O168" s="194"/>
      <c r="P168" s="141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4">C168/100</f>
        <v>0</v>
      </c>
      <c r="V168" s="197">
        <f t="shared" si="154"/>
        <v>0</v>
      </c>
      <c r="W168" s="197">
        <f t="shared" si="12"/>
        <v>0</v>
      </c>
      <c r="X168" s="200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0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39"/>
      <c r="J169" s="195"/>
      <c r="K169" s="196"/>
      <c r="L169" s="196"/>
      <c r="M169" s="139"/>
      <c r="N169" s="139"/>
      <c r="O169" s="194"/>
      <c r="P169" s="141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5">C169/100</f>
        <v>0</v>
      </c>
      <c r="V169" s="197">
        <f t="shared" si="155"/>
        <v>0</v>
      </c>
      <c r="W169" s="197">
        <f t="shared" si="12"/>
        <v>0</v>
      </c>
      <c r="X169" s="200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0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39"/>
      <c r="J170" s="195"/>
      <c r="K170" s="196"/>
      <c r="L170" s="196"/>
      <c r="M170" s="139"/>
      <c r="N170" s="139"/>
      <c r="O170" s="194"/>
      <c r="P170" s="141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6">C170/100</f>
        <v>0</v>
      </c>
      <c r="V170" s="197">
        <f t="shared" si="156"/>
        <v>0</v>
      </c>
      <c r="W170" s="197">
        <f t="shared" si="12"/>
        <v>0</v>
      </c>
      <c r="X170" s="200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0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39"/>
      <c r="J171" s="195"/>
      <c r="K171" s="196"/>
      <c r="L171" s="196"/>
      <c r="M171" s="139"/>
      <c r="N171" s="139"/>
      <c r="O171" s="194"/>
      <c r="P171" s="141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7">C171/100</f>
        <v>0</v>
      </c>
      <c r="V171" s="197">
        <f t="shared" si="157"/>
        <v>0</v>
      </c>
      <c r="W171" s="197">
        <f t="shared" si="12"/>
        <v>0</v>
      </c>
      <c r="X171" s="200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0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39"/>
      <c r="J172" s="195"/>
      <c r="K172" s="196"/>
      <c r="L172" s="196"/>
      <c r="M172" s="139"/>
      <c r="N172" s="139"/>
      <c r="O172" s="194"/>
      <c r="P172" s="141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8">C172/100</f>
        <v>0</v>
      </c>
      <c r="V172" s="197">
        <f t="shared" si="158"/>
        <v>0</v>
      </c>
      <c r="W172" s="197">
        <f t="shared" si="12"/>
        <v>0</v>
      </c>
      <c r="X172" s="200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0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39"/>
      <c r="J173" s="195"/>
      <c r="K173" s="196"/>
      <c r="L173" s="196"/>
      <c r="M173" s="139"/>
      <c r="N173" s="139"/>
      <c r="O173" s="194"/>
      <c r="P173" s="141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59">C173/100</f>
        <v>0</v>
      </c>
      <c r="V173" s="197">
        <f t="shared" si="159"/>
        <v>0</v>
      </c>
      <c r="W173" s="197">
        <f t="shared" si="12"/>
        <v>0</v>
      </c>
      <c r="X173" s="200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0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39"/>
      <c r="J174" s="195"/>
      <c r="K174" s="196"/>
      <c r="L174" s="196"/>
      <c r="M174" s="139"/>
      <c r="N174" s="139"/>
      <c r="O174" s="194"/>
      <c r="P174" s="141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0">C174/100</f>
        <v>0</v>
      </c>
      <c r="V174" s="197">
        <f t="shared" si="160"/>
        <v>0</v>
      </c>
      <c r="W174" s="197">
        <f t="shared" si="12"/>
        <v>0</v>
      </c>
      <c r="X174" s="200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0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39"/>
      <c r="J175" s="195"/>
      <c r="K175" s="196"/>
      <c r="L175" s="196"/>
      <c r="M175" s="139"/>
      <c r="N175" s="139"/>
      <c r="O175" s="194"/>
      <c r="P175" s="141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1">C175/100</f>
        <v>0</v>
      </c>
      <c r="V175" s="197">
        <f t="shared" si="161"/>
        <v>0</v>
      </c>
      <c r="W175" s="197">
        <f t="shared" si="12"/>
        <v>0</v>
      </c>
      <c r="X175" s="200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0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39"/>
      <c r="J176" s="195"/>
      <c r="K176" s="196"/>
      <c r="L176" s="196"/>
      <c r="M176" s="139"/>
      <c r="N176" s="139"/>
      <c r="O176" s="194"/>
      <c r="P176" s="141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2">C176/100</f>
        <v>0</v>
      </c>
      <c r="V176" s="197">
        <f t="shared" si="162"/>
        <v>0</v>
      </c>
      <c r="W176" s="197">
        <f t="shared" si="12"/>
        <v>0</v>
      </c>
      <c r="X176" s="200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0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39"/>
      <c r="J177" s="195"/>
      <c r="K177" s="196"/>
      <c r="L177" s="196"/>
      <c r="M177" s="139"/>
      <c r="N177" s="139"/>
      <c r="O177" s="194"/>
      <c r="P177" s="141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3">C177/100</f>
        <v>0</v>
      </c>
      <c r="V177" s="197">
        <f t="shared" si="163"/>
        <v>0</v>
      </c>
      <c r="W177" s="197">
        <f t="shared" si="12"/>
        <v>0</v>
      </c>
      <c r="X177" s="200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0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39"/>
      <c r="J178" s="195"/>
      <c r="K178" s="196"/>
      <c r="L178" s="196"/>
      <c r="M178" s="139"/>
      <c r="N178" s="139"/>
      <c r="O178" s="194"/>
      <c r="P178" s="141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4">C178/100</f>
        <v>0</v>
      </c>
      <c r="V178" s="197">
        <f t="shared" si="164"/>
        <v>0</v>
      </c>
      <c r="W178" s="197">
        <f t="shared" si="12"/>
        <v>0</v>
      </c>
      <c r="X178" s="200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0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39"/>
      <c r="J179" s="195"/>
      <c r="K179" s="196"/>
      <c r="L179" s="196"/>
      <c r="M179" s="139"/>
      <c r="N179" s="139"/>
      <c r="O179" s="194"/>
      <c r="P179" s="141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5">C179/100</f>
        <v>0</v>
      </c>
      <c r="V179" s="197">
        <f t="shared" si="165"/>
        <v>0</v>
      </c>
      <c r="W179" s="197">
        <f t="shared" si="12"/>
        <v>0</v>
      </c>
      <c r="X179" s="200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0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39"/>
      <c r="J180" s="195"/>
      <c r="K180" s="196"/>
      <c r="L180" s="196"/>
      <c r="M180" s="139"/>
      <c r="N180" s="139"/>
      <c r="O180" s="194"/>
      <c r="P180" s="141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6">C180/100</f>
        <v>0</v>
      </c>
      <c r="V180" s="197">
        <f t="shared" si="166"/>
        <v>0</v>
      </c>
      <c r="W180" s="197">
        <f t="shared" si="12"/>
        <v>0</v>
      </c>
      <c r="X180" s="200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0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39"/>
      <c r="J181" s="195"/>
      <c r="K181" s="196"/>
      <c r="L181" s="196"/>
      <c r="M181" s="139"/>
      <c r="N181" s="139"/>
      <c r="O181" s="194"/>
      <c r="P181" s="141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7">C181/100</f>
        <v>0</v>
      </c>
      <c r="V181" s="197">
        <f t="shared" si="167"/>
        <v>0</v>
      </c>
      <c r="W181" s="197">
        <f t="shared" si="12"/>
        <v>0</v>
      </c>
      <c r="X181" s="200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0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39"/>
      <c r="J182" s="195"/>
      <c r="K182" s="196"/>
      <c r="L182" s="196"/>
      <c r="M182" s="139"/>
      <c r="N182" s="139"/>
      <c r="O182" s="194"/>
      <c r="P182" s="141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8">C182/100</f>
        <v>0</v>
      </c>
      <c r="V182" s="197">
        <f t="shared" si="168"/>
        <v>0</v>
      </c>
      <c r="W182" s="197">
        <f t="shared" si="12"/>
        <v>0</v>
      </c>
      <c r="X182" s="200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0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39"/>
      <c r="J183" s="195"/>
      <c r="K183" s="196"/>
      <c r="L183" s="196"/>
      <c r="M183" s="139"/>
      <c r="N183" s="139"/>
      <c r="O183" s="194"/>
      <c r="P183" s="141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69">C183/100</f>
        <v>0</v>
      </c>
      <c r="V183" s="197">
        <f t="shared" si="169"/>
        <v>0</v>
      </c>
      <c r="W183" s="197">
        <f t="shared" si="12"/>
        <v>0</v>
      </c>
      <c r="X183" s="200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0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39"/>
      <c r="J184" s="195"/>
      <c r="K184" s="196"/>
      <c r="L184" s="196"/>
      <c r="M184" s="139"/>
      <c r="N184" s="139"/>
      <c r="O184" s="194"/>
      <c r="P184" s="141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0">C184/100</f>
        <v>0</v>
      </c>
      <c r="V184" s="197">
        <f t="shared" si="170"/>
        <v>0</v>
      </c>
      <c r="W184" s="197">
        <f t="shared" si="12"/>
        <v>0</v>
      </c>
      <c r="X184" s="200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0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39"/>
      <c r="J185" s="195"/>
      <c r="K185" s="196"/>
      <c r="L185" s="196"/>
      <c r="M185" s="139"/>
      <c r="N185" s="139"/>
      <c r="O185" s="194"/>
      <c r="P185" s="141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1">C185/100</f>
        <v>0</v>
      </c>
      <c r="V185" s="197">
        <f t="shared" si="171"/>
        <v>0</v>
      </c>
      <c r="W185" s="197">
        <f t="shared" si="12"/>
        <v>0</v>
      </c>
      <c r="X185" s="200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0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39"/>
      <c r="J186" s="195"/>
      <c r="K186" s="196"/>
      <c r="L186" s="196"/>
      <c r="M186" s="139"/>
      <c r="N186" s="139"/>
      <c r="O186" s="194"/>
      <c r="P186" s="141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2">C186/100</f>
        <v>0</v>
      </c>
      <c r="V186" s="197">
        <f t="shared" si="172"/>
        <v>0</v>
      </c>
      <c r="W186" s="197">
        <f t="shared" si="12"/>
        <v>0</v>
      </c>
      <c r="X186" s="200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0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39"/>
      <c r="J187" s="195"/>
      <c r="K187" s="196"/>
      <c r="L187" s="196"/>
      <c r="M187" s="139"/>
      <c r="N187" s="139"/>
      <c r="O187" s="194"/>
      <c r="P187" s="141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3">C187/100</f>
        <v>0</v>
      </c>
      <c r="V187" s="197">
        <f t="shared" si="173"/>
        <v>0</v>
      </c>
      <c r="W187" s="197">
        <f t="shared" si="12"/>
        <v>0</v>
      </c>
      <c r="X187" s="200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0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39"/>
      <c r="J188" s="195"/>
      <c r="K188" s="196"/>
      <c r="L188" s="196"/>
      <c r="M188" s="139"/>
      <c r="N188" s="139"/>
      <c r="O188" s="194"/>
      <c r="P188" s="141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4">C188/100</f>
        <v>0</v>
      </c>
      <c r="V188" s="197">
        <f t="shared" si="174"/>
        <v>0</v>
      </c>
      <c r="W188" s="197">
        <f t="shared" si="12"/>
        <v>0</v>
      </c>
      <c r="X188" s="200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0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39"/>
      <c r="J189" s="195"/>
      <c r="K189" s="196"/>
      <c r="L189" s="196"/>
      <c r="M189" s="139"/>
      <c r="N189" s="139"/>
      <c r="O189" s="194"/>
      <c r="P189" s="141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5">C189/100</f>
        <v>0</v>
      </c>
      <c r="V189" s="197">
        <f t="shared" si="175"/>
        <v>0</v>
      </c>
      <c r="W189" s="197">
        <f t="shared" si="12"/>
        <v>0</v>
      </c>
      <c r="X189" s="200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0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39"/>
      <c r="J190" s="195"/>
      <c r="K190" s="196"/>
      <c r="L190" s="196"/>
      <c r="M190" s="139"/>
      <c r="N190" s="139"/>
      <c r="O190" s="194"/>
      <c r="P190" s="141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6">C190/100</f>
        <v>0</v>
      </c>
      <c r="V190" s="197">
        <f t="shared" si="176"/>
        <v>0</v>
      </c>
      <c r="W190" s="197">
        <f t="shared" si="12"/>
        <v>0</v>
      </c>
      <c r="X190" s="200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0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39"/>
      <c r="J191" s="195"/>
      <c r="K191" s="196"/>
      <c r="L191" s="196"/>
      <c r="M191" s="139"/>
      <c r="N191" s="139"/>
      <c r="O191" s="194"/>
      <c r="P191" s="141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7">C191/100</f>
        <v>0</v>
      </c>
      <c r="V191" s="197">
        <f t="shared" si="177"/>
        <v>0</v>
      </c>
      <c r="W191" s="197">
        <f t="shared" si="12"/>
        <v>0</v>
      </c>
      <c r="X191" s="200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0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39"/>
      <c r="J192" s="195"/>
      <c r="K192" s="196"/>
      <c r="L192" s="196"/>
      <c r="M192" s="139"/>
      <c r="N192" s="139"/>
      <c r="O192" s="194"/>
      <c r="P192" s="141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8">C192/100</f>
        <v>0</v>
      </c>
      <c r="V192" s="197">
        <f t="shared" si="178"/>
        <v>0</v>
      </c>
      <c r="W192" s="197">
        <f t="shared" si="12"/>
        <v>0</v>
      </c>
      <c r="X192" s="200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0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39"/>
      <c r="J193" s="195"/>
      <c r="K193" s="196"/>
      <c r="L193" s="196"/>
      <c r="M193" s="139"/>
      <c r="N193" s="139"/>
      <c r="O193" s="194"/>
      <c r="P193" s="141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79">C193/100</f>
        <v>0</v>
      </c>
      <c r="V193" s="197">
        <f t="shared" si="179"/>
        <v>0</v>
      </c>
      <c r="W193" s="197">
        <f t="shared" si="12"/>
        <v>0</v>
      </c>
      <c r="X193" s="200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0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39"/>
      <c r="J194" s="195"/>
      <c r="K194" s="196"/>
      <c r="L194" s="196"/>
      <c r="M194" s="139"/>
      <c r="N194" s="139"/>
      <c r="O194" s="194"/>
      <c r="P194" s="141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0">C194/100</f>
        <v>0</v>
      </c>
      <c r="V194" s="197">
        <f t="shared" si="180"/>
        <v>0</v>
      </c>
      <c r="W194" s="197">
        <f t="shared" si="12"/>
        <v>0</v>
      </c>
      <c r="X194" s="200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0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39"/>
      <c r="J195" s="195"/>
      <c r="K195" s="196"/>
      <c r="L195" s="196"/>
      <c r="M195" s="139"/>
      <c r="N195" s="139"/>
      <c r="O195" s="194"/>
      <c r="P195" s="141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1">C195/100</f>
        <v>0</v>
      </c>
      <c r="V195" s="197">
        <f t="shared" si="181"/>
        <v>0</v>
      </c>
      <c r="W195" s="197">
        <f t="shared" si="12"/>
        <v>0</v>
      </c>
      <c r="X195" s="200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0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39"/>
      <c r="J196" s="195"/>
      <c r="K196" s="196"/>
      <c r="L196" s="196"/>
      <c r="M196" s="139"/>
      <c r="N196" s="139"/>
      <c r="O196" s="194"/>
      <c r="P196" s="141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2">C196/100</f>
        <v>0</v>
      </c>
      <c r="V196" s="197">
        <f t="shared" si="182"/>
        <v>0</v>
      </c>
      <c r="W196" s="197">
        <f t="shared" si="12"/>
        <v>0</v>
      </c>
      <c r="X196" s="200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0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39"/>
      <c r="J197" s="195"/>
      <c r="K197" s="196"/>
      <c r="L197" s="196"/>
      <c r="M197" s="139"/>
      <c r="N197" s="139"/>
      <c r="O197" s="194"/>
      <c r="P197" s="141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3">C197/100</f>
        <v>0</v>
      </c>
      <c r="V197" s="197">
        <f t="shared" si="183"/>
        <v>0</v>
      </c>
      <c r="W197" s="197">
        <f t="shared" si="12"/>
        <v>0</v>
      </c>
      <c r="X197" s="200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0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39"/>
      <c r="J198" s="195"/>
      <c r="K198" s="196"/>
      <c r="L198" s="196"/>
      <c r="M198" s="139"/>
      <c r="N198" s="139"/>
      <c r="O198" s="194"/>
      <c r="P198" s="141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4">C198/100</f>
        <v>0</v>
      </c>
      <c r="V198" s="197">
        <f t="shared" si="184"/>
        <v>0</v>
      </c>
      <c r="W198" s="197">
        <f t="shared" si="12"/>
        <v>0</v>
      </c>
      <c r="X198" s="200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0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39"/>
      <c r="J199" s="195"/>
      <c r="K199" s="196"/>
      <c r="L199" s="196"/>
      <c r="M199" s="139"/>
      <c r="N199" s="139"/>
      <c r="O199" s="194"/>
      <c r="P199" s="141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5">C199/100</f>
        <v>0</v>
      </c>
      <c r="V199" s="197">
        <f t="shared" si="185"/>
        <v>0</v>
      </c>
      <c r="W199" s="197">
        <f t="shared" si="12"/>
        <v>0</v>
      </c>
      <c r="X199" s="200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0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39"/>
      <c r="J200" s="195"/>
      <c r="K200" s="196"/>
      <c r="L200" s="196"/>
      <c r="M200" s="139"/>
      <c r="N200" s="139"/>
      <c r="O200" s="194"/>
      <c r="P200" s="141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6">C200/100</f>
        <v>0</v>
      </c>
      <c r="V200" s="197">
        <f t="shared" si="186"/>
        <v>0</v>
      </c>
      <c r="W200" s="197">
        <f t="shared" si="12"/>
        <v>0</v>
      </c>
      <c r="X200" s="200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0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39"/>
      <c r="J201" s="195"/>
      <c r="K201" s="196"/>
      <c r="L201" s="196"/>
      <c r="M201" s="139"/>
      <c r="N201" s="139"/>
      <c r="O201" s="194"/>
      <c r="P201" s="141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7">C201/100</f>
        <v>0</v>
      </c>
      <c r="V201" s="197">
        <f t="shared" si="187"/>
        <v>0</v>
      </c>
      <c r="W201" s="197">
        <f t="shared" si="12"/>
        <v>0</v>
      </c>
      <c r="X201" s="200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0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39"/>
      <c r="J202" s="195"/>
      <c r="K202" s="196"/>
      <c r="L202" s="196"/>
      <c r="M202" s="139"/>
      <c r="N202" s="139"/>
      <c r="O202" s="194"/>
      <c r="P202" s="141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8">C202/100</f>
        <v>0</v>
      </c>
      <c r="V202" s="197">
        <f t="shared" si="188"/>
        <v>0</v>
      </c>
      <c r="W202" s="197">
        <f t="shared" si="12"/>
        <v>0</v>
      </c>
      <c r="X202" s="200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0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39"/>
      <c r="J203" s="195"/>
      <c r="K203" s="196"/>
      <c r="L203" s="196"/>
      <c r="M203" s="139"/>
      <c r="N203" s="139"/>
      <c r="O203" s="194"/>
      <c r="P203" s="141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89">C203/100</f>
        <v>0</v>
      </c>
      <c r="V203" s="197">
        <f t="shared" si="189"/>
        <v>0</v>
      </c>
      <c r="W203" s="197">
        <f t="shared" si="12"/>
        <v>0</v>
      </c>
      <c r="X203" s="200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0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39"/>
      <c r="J204" s="195"/>
      <c r="K204" s="196"/>
      <c r="L204" s="196"/>
      <c r="M204" s="139"/>
      <c r="N204" s="139"/>
      <c r="O204" s="194"/>
      <c r="P204" s="141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0">C204/100</f>
        <v>0</v>
      </c>
      <c r="V204" s="197">
        <f t="shared" si="190"/>
        <v>0</v>
      </c>
      <c r="W204" s="197">
        <f t="shared" si="12"/>
        <v>0</v>
      </c>
      <c r="X204" s="200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0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39"/>
      <c r="J205" s="195"/>
      <c r="K205" s="196"/>
      <c r="L205" s="196"/>
      <c r="M205" s="139"/>
      <c r="N205" s="139"/>
      <c r="O205" s="194"/>
      <c r="P205" s="141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1">C205/100</f>
        <v>0</v>
      </c>
      <c r="V205" s="197">
        <f t="shared" si="191"/>
        <v>0</v>
      </c>
      <c r="W205" s="197">
        <f t="shared" si="12"/>
        <v>0</v>
      </c>
      <c r="X205" s="200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0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39"/>
      <c r="J206" s="195"/>
      <c r="K206" s="196"/>
      <c r="L206" s="196"/>
      <c r="M206" s="139"/>
      <c r="N206" s="139"/>
      <c r="O206" s="194"/>
      <c r="P206" s="141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2">C206/100</f>
        <v>0</v>
      </c>
      <c r="V206" s="197">
        <f t="shared" si="192"/>
        <v>0</v>
      </c>
      <c r="W206" s="197">
        <f t="shared" si="12"/>
        <v>0</v>
      </c>
      <c r="X206" s="200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0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39"/>
      <c r="J207" s="195"/>
      <c r="K207" s="196"/>
      <c r="L207" s="196"/>
      <c r="M207" s="139"/>
      <c r="N207" s="139"/>
      <c r="O207" s="194"/>
      <c r="P207" s="141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3">C207/100</f>
        <v>0</v>
      </c>
      <c r="V207" s="197">
        <f t="shared" si="193"/>
        <v>0</v>
      </c>
      <c r="W207" s="197">
        <f t="shared" si="12"/>
        <v>0</v>
      </c>
      <c r="X207" s="200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0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39"/>
      <c r="J208" s="195"/>
      <c r="K208" s="196"/>
      <c r="L208" s="196"/>
      <c r="M208" s="139"/>
      <c r="N208" s="139"/>
      <c r="O208" s="194"/>
      <c r="P208" s="141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4">C208/100</f>
        <v>0</v>
      </c>
      <c r="V208" s="197">
        <f t="shared" si="194"/>
        <v>0</v>
      </c>
      <c r="W208" s="197">
        <f t="shared" si="12"/>
        <v>0</v>
      </c>
      <c r="X208" s="200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0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39"/>
      <c r="J209" s="195"/>
      <c r="K209" s="196"/>
      <c r="L209" s="196"/>
      <c r="M209" s="139"/>
      <c r="N209" s="139"/>
      <c r="O209" s="194"/>
      <c r="P209" s="141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5">C209/100</f>
        <v>0</v>
      </c>
      <c r="V209" s="197">
        <f t="shared" si="195"/>
        <v>0</v>
      </c>
      <c r="W209" s="197">
        <f t="shared" si="12"/>
        <v>0</v>
      </c>
      <c r="X209" s="200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0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39"/>
      <c r="J210" s="195"/>
      <c r="K210" s="196"/>
      <c r="L210" s="196"/>
      <c r="M210" s="139"/>
      <c r="N210" s="139"/>
      <c r="O210" s="194"/>
      <c r="P210" s="141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6">C210/100</f>
        <v>0</v>
      </c>
      <c r="V210" s="197">
        <f t="shared" si="196"/>
        <v>0</v>
      </c>
      <c r="W210" s="197">
        <f t="shared" si="12"/>
        <v>0</v>
      </c>
      <c r="X210" s="200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0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39"/>
      <c r="J211" s="195"/>
      <c r="K211" s="196"/>
      <c r="L211" s="196"/>
      <c r="M211" s="139"/>
      <c r="N211" s="139"/>
      <c r="O211" s="194"/>
      <c r="P211" s="141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7">C211/100</f>
        <v>0</v>
      </c>
      <c r="V211" s="197">
        <f t="shared" si="197"/>
        <v>0</v>
      </c>
      <c r="W211" s="197">
        <f t="shared" si="12"/>
        <v>0</v>
      </c>
      <c r="X211" s="200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0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39"/>
      <c r="J212" s="195"/>
      <c r="K212" s="196"/>
      <c r="L212" s="196"/>
      <c r="M212" s="139"/>
      <c r="N212" s="139"/>
      <c r="O212" s="194"/>
      <c r="P212" s="141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8">C212/100</f>
        <v>0</v>
      </c>
      <c r="V212" s="197">
        <f t="shared" si="198"/>
        <v>0</v>
      </c>
      <c r="W212" s="197">
        <f t="shared" si="12"/>
        <v>0</v>
      </c>
      <c r="X212" s="200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0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39"/>
      <c r="J213" s="195"/>
      <c r="K213" s="196"/>
      <c r="L213" s="196"/>
      <c r="M213" s="139"/>
      <c r="N213" s="139"/>
      <c r="O213" s="194"/>
      <c r="P213" s="141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199">C213/100</f>
        <v>0</v>
      </c>
      <c r="V213" s="197">
        <f t="shared" si="199"/>
        <v>0</v>
      </c>
      <c r="W213" s="197">
        <f t="shared" si="12"/>
        <v>0</v>
      </c>
      <c r="X213" s="200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0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39"/>
      <c r="J214" s="195"/>
      <c r="K214" s="196"/>
      <c r="L214" s="196"/>
      <c r="M214" s="139"/>
      <c r="N214" s="139"/>
      <c r="O214" s="194"/>
      <c r="P214" s="141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0">C214/100</f>
        <v>0</v>
      </c>
      <c r="V214" s="197">
        <f t="shared" si="200"/>
        <v>0</v>
      </c>
      <c r="W214" s="197">
        <f t="shared" si="12"/>
        <v>0</v>
      </c>
      <c r="X214" s="200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0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39"/>
      <c r="J215" s="195"/>
      <c r="K215" s="196"/>
      <c r="L215" s="196"/>
      <c r="M215" s="139"/>
      <c r="N215" s="139"/>
      <c r="O215" s="194"/>
      <c r="P215" s="141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1">C215/100</f>
        <v>0</v>
      </c>
      <c r="V215" s="197">
        <f t="shared" si="201"/>
        <v>0</v>
      </c>
      <c r="W215" s="197">
        <f t="shared" si="12"/>
        <v>0</v>
      </c>
      <c r="X215" s="200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0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39"/>
      <c r="J216" s="195"/>
      <c r="K216" s="196"/>
      <c r="L216" s="196"/>
      <c r="M216" s="139"/>
      <c r="N216" s="139"/>
      <c r="O216" s="194"/>
      <c r="P216" s="141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2">C216/100</f>
        <v>0</v>
      </c>
      <c r="V216" s="197">
        <f t="shared" si="202"/>
        <v>0</v>
      </c>
      <c r="W216" s="197">
        <f t="shared" si="12"/>
        <v>0</v>
      </c>
      <c r="X216" s="200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0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39"/>
      <c r="J217" s="195"/>
      <c r="K217" s="196"/>
      <c r="L217" s="196"/>
      <c r="M217" s="139"/>
      <c r="N217" s="139"/>
      <c r="O217" s="194"/>
      <c r="P217" s="141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3">C217/100</f>
        <v>0</v>
      </c>
      <c r="V217" s="197">
        <f t="shared" si="203"/>
        <v>0</v>
      </c>
      <c r="W217" s="197">
        <f t="shared" si="12"/>
        <v>0</v>
      </c>
      <c r="X217" s="200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0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39"/>
      <c r="J218" s="195"/>
      <c r="K218" s="196"/>
      <c r="L218" s="196"/>
      <c r="M218" s="139"/>
      <c r="N218" s="139"/>
      <c r="O218" s="194"/>
      <c r="P218" s="141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4">C218/100</f>
        <v>0</v>
      </c>
      <c r="V218" s="197">
        <f t="shared" si="204"/>
        <v>0</v>
      </c>
      <c r="W218" s="197">
        <f t="shared" si="12"/>
        <v>0</v>
      </c>
      <c r="X218" s="200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0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39"/>
      <c r="J219" s="195"/>
      <c r="K219" s="196"/>
      <c r="L219" s="196"/>
      <c r="M219" s="139"/>
      <c r="N219" s="139"/>
      <c r="O219" s="194"/>
      <c r="P219" s="141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5">C219/100</f>
        <v>0</v>
      </c>
      <c r="V219" s="197">
        <f t="shared" si="205"/>
        <v>0</v>
      </c>
      <c r="W219" s="197">
        <f t="shared" si="12"/>
        <v>0</v>
      </c>
      <c r="X219" s="200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0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39"/>
      <c r="J220" s="195"/>
      <c r="K220" s="196"/>
      <c r="L220" s="196"/>
      <c r="M220" s="139"/>
      <c r="N220" s="139"/>
      <c r="O220" s="194"/>
      <c r="P220" s="141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6">C220/100</f>
        <v>0</v>
      </c>
      <c r="V220" s="197">
        <f t="shared" si="206"/>
        <v>0</v>
      </c>
      <c r="W220" s="197">
        <f t="shared" si="12"/>
        <v>0</v>
      </c>
      <c r="X220" s="200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0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39"/>
      <c r="J221" s="195"/>
      <c r="K221" s="196"/>
      <c r="L221" s="196"/>
      <c r="M221" s="139"/>
      <c r="N221" s="139"/>
      <c r="O221" s="194"/>
      <c r="P221" s="141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7">C221/100</f>
        <v>0</v>
      </c>
      <c r="V221" s="197">
        <f t="shared" si="207"/>
        <v>0</v>
      </c>
      <c r="W221" s="197">
        <f t="shared" si="12"/>
        <v>0</v>
      </c>
      <c r="X221" s="200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0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39"/>
      <c r="J222" s="195"/>
      <c r="K222" s="196"/>
      <c r="L222" s="196"/>
      <c r="M222" s="139"/>
      <c r="N222" s="139"/>
      <c r="O222" s="194"/>
      <c r="P222" s="141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8">C222/100</f>
        <v>0</v>
      </c>
      <c r="V222" s="197">
        <f t="shared" si="208"/>
        <v>0</v>
      </c>
      <c r="W222" s="197">
        <f t="shared" si="12"/>
        <v>0</v>
      </c>
      <c r="X222" s="200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0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39"/>
      <c r="J223" s="195"/>
      <c r="K223" s="196"/>
      <c r="L223" s="196"/>
      <c r="M223" s="139"/>
      <c r="N223" s="139"/>
      <c r="O223" s="194"/>
      <c r="P223" s="141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09">C223/100</f>
        <v>0</v>
      </c>
      <c r="V223" s="197">
        <f t="shared" si="209"/>
        <v>0</v>
      </c>
      <c r="W223" s="197">
        <f t="shared" si="12"/>
        <v>0</v>
      </c>
      <c r="X223" s="200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0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39"/>
      <c r="J224" s="195"/>
      <c r="K224" s="196"/>
      <c r="L224" s="196"/>
      <c r="M224" s="139"/>
      <c r="N224" s="139"/>
      <c r="O224" s="194"/>
      <c r="P224" s="141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0">C224/100</f>
        <v>0</v>
      </c>
      <c r="V224" s="197">
        <f t="shared" si="210"/>
        <v>0</v>
      </c>
      <c r="W224" s="197">
        <f t="shared" si="12"/>
        <v>0</v>
      </c>
      <c r="X224" s="200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0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39"/>
      <c r="J225" s="195"/>
      <c r="K225" s="196"/>
      <c r="L225" s="196"/>
      <c r="M225" s="139"/>
      <c r="N225" s="139"/>
      <c r="O225" s="194"/>
      <c r="P225" s="141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1">C225/100</f>
        <v>0</v>
      </c>
      <c r="V225" s="197">
        <f t="shared" si="211"/>
        <v>0</v>
      </c>
      <c r="W225" s="197">
        <f t="shared" si="12"/>
        <v>0</v>
      </c>
      <c r="X225" s="200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0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39"/>
      <c r="J226" s="195"/>
      <c r="K226" s="196"/>
      <c r="L226" s="196"/>
      <c r="M226" s="139"/>
      <c r="N226" s="139"/>
      <c r="O226" s="194"/>
      <c r="P226" s="141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2">C226/100</f>
        <v>0</v>
      </c>
      <c r="V226" s="197">
        <f t="shared" si="212"/>
        <v>0</v>
      </c>
      <c r="W226" s="197">
        <f t="shared" si="12"/>
        <v>0</v>
      </c>
      <c r="X226" s="200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0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39"/>
      <c r="J227" s="195"/>
      <c r="K227" s="196"/>
      <c r="L227" s="196"/>
      <c r="M227" s="139"/>
      <c r="N227" s="139"/>
      <c r="O227" s="194"/>
      <c r="P227" s="141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3">C227/100</f>
        <v>0</v>
      </c>
      <c r="V227" s="197">
        <f t="shared" si="213"/>
        <v>0</v>
      </c>
      <c r="W227" s="197">
        <f t="shared" si="12"/>
        <v>0</v>
      </c>
      <c r="X227" s="200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0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39"/>
      <c r="J228" s="195"/>
      <c r="K228" s="196"/>
      <c r="L228" s="196"/>
      <c r="M228" s="139"/>
      <c r="N228" s="139"/>
      <c r="O228" s="194"/>
      <c r="P228" s="141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4">C228/100</f>
        <v>0</v>
      </c>
      <c r="V228" s="197">
        <f t="shared" si="214"/>
        <v>0</v>
      </c>
      <c r="W228" s="197">
        <f t="shared" si="12"/>
        <v>0</v>
      </c>
      <c r="X228" s="200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0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39"/>
      <c r="J229" s="195"/>
      <c r="K229" s="196"/>
      <c r="L229" s="196"/>
      <c r="M229" s="139"/>
      <c r="N229" s="139"/>
      <c r="O229" s="194"/>
      <c r="P229" s="141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5">C229/100</f>
        <v>0</v>
      </c>
      <c r="V229" s="197">
        <f t="shared" si="215"/>
        <v>0</v>
      </c>
      <c r="W229" s="197">
        <f t="shared" si="12"/>
        <v>0</v>
      </c>
      <c r="X229" s="200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0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39"/>
      <c r="J230" s="195"/>
      <c r="K230" s="196"/>
      <c r="L230" s="196"/>
      <c r="M230" s="139"/>
      <c r="N230" s="139"/>
      <c r="O230" s="194"/>
      <c r="P230" s="141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6">C230/100</f>
        <v>0</v>
      </c>
      <c r="V230" s="197">
        <f t="shared" si="216"/>
        <v>0</v>
      </c>
      <c r="W230" s="197">
        <f t="shared" si="12"/>
        <v>0</v>
      </c>
      <c r="X230" s="200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0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39"/>
      <c r="J231" s="195"/>
      <c r="K231" s="196"/>
      <c r="L231" s="196"/>
      <c r="M231" s="139"/>
      <c r="N231" s="139"/>
      <c r="O231" s="194"/>
      <c r="P231" s="141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7">C231/100</f>
        <v>0</v>
      </c>
      <c r="V231" s="197">
        <f t="shared" si="217"/>
        <v>0</v>
      </c>
      <c r="W231" s="197">
        <f t="shared" si="12"/>
        <v>0</v>
      </c>
      <c r="X231" s="200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0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39"/>
      <c r="J232" s="195"/>
      <c r="K232" s="196"/>
      <c r="L232" s="196"/>
      <c r="M232" s="139"/>
      <c r="N232" s="139"/>
      <c r="O232" s="194"/>
      <c r="P232" s="141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8">C232/100</f>
        <v>0</v>
      </c>
      <c r="V232" s="197">
        <f t="shared" si="218"/>
        <v>0</v>
      </c>
      <c r="W232" s="197">
        <f t="shared" si="12"/>
        <v>0</v>
      </c>
      <c r="X232" s="200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0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39"/>
      <c r="J233" s="195"/>
      <c r="K233" s="196"/>
      <c r="L233" s="196"/>
      <c r="M233" s="139"/>
      <c r="N233" s="139"/>
      <c r="O233" s="194"/>
      <c r="P233" s="141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19">C233/100</f>
        <v>0</v>
      </c>
      <c r="V233" s="197">
        <f t="shared" si="219"/>
        <v>0</v>
      </c>
      <c r="W233" s="197">
        <f t="shared" si="12"/>
        <v>0</v>
      </c>
      <c r="X233" s="200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0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39"/>
      <c r="J234" s="195"/>
      <c r="K234" s="196"/>
      <c r="L234" s="196"/>
      <c r="M234" s="139"/>
      <c r="N234" s="139"/>
      <c r="O234" s="194"/>
      <c r="P234" s="141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0">C234/100</f>
        <v>0</v>
      </c>
      <c r="V234" s="197">
        <f t="shared" si="220"/>
        <v>0</v>
      </c>
      <c r="W234" s="197">
        <f t="shared" si="12"/>
        <v>0</v>
      </c>
      <c r="X234" s="200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0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39"/>
      <c r="J235" s="195"/>
      <c r="K235" s="196"/>
      <c r="L235" s="196"/>
      <c r="M235" s="139"/>
      <c r="N235" s="139"/>
      <c r="O235" s="194"/>
      <c r="P235" s="141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1">C235/100</f>
        <v>0</v>
      </c>
      <c r="V235" s="197">
        <f t="shared" si="221"/>
        <v>0</v>
      </c>
      <c r="W235" s="197">
        <f t="shared" si="12"/>
        <v>0</v>
      </c>
      <c r="X235" s="200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0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39"/>
      <c r="J236" s="195"/>
      <c r="K236" s="196"/>
      <c r="L236" s="196"/>
      <c r="M236" s="139"/>
      <c r="N236" s="139"/>
      <c r="O236" s="194"/>
      <c r="P236" s="141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2">C236/100</f>
        <v>0</v>
      </c>
      <c r="V236" s="197">
        <f t="shared" si="222"/>
        <v>0</v>
      </c>
      <c r="W236" s="197">
        <f t="shared" si="12"/>
        <v>0</v>
      </c>
      <c r="X236" s="200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0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39"/>
      <c r="J237" s="195"/>
      <c r="K237" s="196"/>
      <c r="L237" s="196"/>
      <c r="M237" s="139"/>
      <c r="N237" s="139"/>
      <c r="O237" s="194"/>
      <c r="P237" s="141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3">C237/100</f>
        <v>0</v>
      </c>
      <c r="V237" s="197">
        <f t="shared" si="223"/>
        <v>0</v>
      </c>
      <c r="W237" s="197">
        <f t="shared" si="12"/>
        <v>0</v>
      </c>
      <c r="X237" s="200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0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39"/>
      <c r="J238" s="195"/>
      <c r="K238" s="196"/>
      <c r="L238" s="196"/>
      <c r="M238" s="139"/>
      <c r="N238" s="139"/>
      <c r="O238" s="194"/>
      <c r="P238" s="141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4">C238/100</f>
        <v>0</v>
      </c>
      <c r="V238" s="197">
        <f t="shared" si="224"/>
        <v>0</v>
      </c>
      <c r="W238" s="197">
        <f t="shared" si="12"/>
        <v>0</v>
      </c>
      <c r="X238" s="200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0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39"/>
      <c r="J239" s="195"/>
      <c r="K239" s="196"/>
      <c r="L239" s="196"/>
      <c r="M239" s="139"/>
      <c r="N239" s="139"/>
      <c r="O239" s="194"/>
      <c r="P239" s="141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5">C239/100</f>
        <v>0</v>
      </c>
      <c r="V239" s="197">
        <f t="shared" si="225"/>
        <v>0</v>
      </c>
      <c r="W239" s="197">
        <f t="shared" si="12"/>
        <v>0</v>
      </c>
      <c r="X239" s="200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0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39"/>
      <c r="J240" s="195"/>
      <c r="K240" s="196"/>
      <c r="L240" s="196"/>
      <c r="M240" s="139"/>
      <c r="N240" s="139"/>
      <c r="O240" s="194"/>
      <c r="P240" s="141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6">C240/100</f>
        <v>0</v>
      </c>
      <c r="V240" s="197">
        <f t="shared" si="226"/>
        <v>0</v>
      </c>
      <c r="W240" s="197">
        <f t="shared" si="12"/>
        <v>0</v>
      </c>
      <c r="X240" s="200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0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39"/>
      <c r="J241" s="195"/>
      <c r="K241" s="196"/>
      <c r="L241" s="196"/>
      <c r="M241" s="139"/>
      <c r="N241" s="139"/>
      <c r="O241" s="194"/>
      <c r="P241" s="141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7">C241/100</f>
        <v>0</v>
      </c>
      <c r="V241" s="197">
        <f t="shared" si="227"/>
        <v>0</v>
      </c>
      <c r="W241" s="197">
        <f t="shared" si="12"/>
        <v>0</v>
      </c>
      <c r="X241" s="200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0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39"/>
      <c r="J242" s="195"/>
      <c r="K242" s="196"/>
      <c r="L242" s="196"/>
      <c r="M242" s="139"/>
      <c r="N242" s="139"/>
      <c r="O242" s="194"/>
      <c r="P242" s="141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8">C242/100</f>
        <v>0</v>
      </c>
      <c r="V242" s="197">
        <f t="shared" si="228"/>
        <v>0</v>
      </c>
      <c r="W242" s="197">
        <f t="shared" si="12"/>
        <v>0</v>
      </c>
      <c r="X242" s="200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0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39"/>
      <c r="J243" s="195"/>
      <c r="K243" s="196"/>
      <c r="L243" s="196"/>
      <c r="M243" s="139"/>
      <c r="N243" s="139"/>
      <c r="O243" s="194"/>
      <c r="P243" s="141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29">C243/100</f>
        <v>0</v>
      </c>
      <c r="V243" s="197">
        <f t="shared" si="229"/>
        <v>0</v>
      </c>
      <c r="W243" s="197">
        <f t="shared" si="12"/>
        <v>0</v>
      </c>
      <c r="X243" s="200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0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39"/>
      <c r="J244" s="195"/>
      <c r="K244" s="196"/>
      <c r="L244" s="196"/>
      <c r="M244" s="139"/>
      <c r="N244" s="139"/>
      <c r="O244" s="194"/>
      <c r="P244" s="141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0">C244/100</f>
        <v>0</v>
      </c>
      <c r="V244" s="197">
        <f t="shared" si="230"/>
        <v>0</v>
      </c>
      <c r="W244" s="197">
        <f t="shared" si="12"/>
        <v>0</v>
      </c>
      <c r="X244" s="200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0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39"/>
      <c r="J245" s="195"/>
      <c r="K245" s="196"/>
      <c r="L245" s="196"/>
      <c r="M245" s="139"/>
      <c r="N245" s="139"/>
      <c r="O245" s="194"/>
      <c r="P245" s="141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1">C245/100</f>
        <v>0</v>
      </c>
      <c r="V245" s="197">
        <f t="shared" si="231"/>
        <v>0</v>
      </c>
      <c r="W245" s="197">
        <f t="shared" si="12"/>
        <v>0</v>
      </c>
      <c r="X245" s="200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0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39"/>
      <c r="J246" s="195"/>
      <c r="K246" s="196"/>
      <c r="L246" s="196"/>
      <c r="M246" s="139"/>
      <c r="N246" s="139"/>
      <c r="O246" s="194"/>
      <c r="P246" s="141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2">C246/100</f>
        <v>0</v>
      </c>
      <c r="V246" s="197">
        <f t="shared" si="232"/>
        <v>0</v>
      </c>
      <c r="W246" s="197">
        <f t="shared" si="12"/>
        <v>0</v>
      </c>
      <c r="X246" s="200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0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39"/>
      <c r="J247" s="195"/>
      <c r="K247" s="196"/>
      <c r="L247" s="196"/>
      <c r="M247" s="139"/>
      <c r="N247" s="139"/>
      <c r="O247" s="194"/>
      <c r="P247" s="141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3">C247/100</f>
        <v>0</v>
      </c>
      <c r="V247" s="197">
        <f t="shared" si="233"/>
        <v>0</v>
      </c>
      <c r="W247" s="197">
        <f t="shared" si="12"/>
        <v>0</v>
      </c>
      <c r="X247" s="200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0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39"/>
      <c r="J248" s="195"/>
      <c r="K248" s="196"/>
      <c r="L248" s="196"/>
      <c r="M248" s="139"/>
      <c r="N248" s="139"/>
      <c r="O248" s="194"/>
      <c r="P248" s="141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4">C248/100</f>
        <v>0</v>
      </c>
      <c r="V248" s="197">
        <f t="shared" si="234"/>
        <v>0</v>
      </c>
      <c r="W248" s="197">
        <f t="shared" si="12"/>
        <v>0</v>
      </c>
      <c r="X248" s="200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7"/>
      <c r="C249" s="177"/>
      <c r="D249" s="177"/>
      <c r="E249" s="177"/>
      <c r="F249" s="180"/>
      <c r="G249" s="160"/>
      <c r="H249" s="202">
        <f>+O314</f>
        <v>0</v>
      </c>
      <c r="I249" s="139"/>
      <c r="J249" s="139"/>
      <c r="K249" s="139"/>
      <c r="L249" s="139"/>
      <c r="M249" s="139"/>
      <c r="N249" s="139"/>
      <c r="O249" s="139"/>
      <c r="P249" s="203"/>
      <c r="Q249" s="197">
        <f t="shared" si="7"/>
        <v>0</v>
      </c>
      <c r="R249" s="198" t="str">
        <f t="shared" si="8"/>
        <v/>
      </c>
      <c r="S249" s="198">
        <f t="shared" si="9"/>
        <v>0</v>
      </c>
      <c r="T249" s="201"/>
      <c r="U249" s="197">
        <f t="shared" ref="U249:V249" si="235">C249/100</f>
        <v>0</v>
      </c>
      <c r="V249" s="197">
        <f t="shared" si="235"/>
        <v>0</v>
      </c>
      <c r="W249" s="197">
        <f t="shared" si="12"/>
        <v>0</v>
      </c>
      <c r="X249" s="200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4"/>
      <c r="C250" s="204"/>
      <c r="D250" s="204"/>
      <c r="E250" s="204"/>
      <c r="F250" s="205"/>
      <c r="G250" s="206">
        <f>SUM(G32:G248)</f>
        <v>50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208"/>
      <c r="P250" s="141"/>
      <c r="Q250" s="208">
        <f>+SUM(Q32:Q249)</f>
        <v>0</v>
      </c>
      <c r="R250" s="208">
        <f t="shared" ref="R250:S250" si="236">SUM(R32:R249)</f>
        <v>50</v>
      </c>
      <c r="S250" s="208">
        <f t="shared" si="236"/>
        <v>0</v>
      </c>
      <c r="T250" s="208"/>
      <c r="U250" s="208"/>
      <c r="V250" s="208"/>
      <c r="W250" s="208"/>
      <c r="X250" s="209">
        <f>SUM(X32:X249)</f>
        <v>0</v>
      </c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1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3"/>
      <c r="Q252" s="139"/>
      <c r="R252" s="139" t="s">
        <v>48</v>
      </c>
      <c r="S252" s="139" t="s">
        <v>59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0"/>
      <c r="S253" s="211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2">
        <f>+H250</f>
        <v>0</v>
      </c>
      <c r="S254" s="211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3"/>
      <c r="Q255" s="139"/>
      <c r="R255" s="213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7"/>
      <c r="B256" s="160" t="s">
        <v>12</v>
      </c>
      <c r="C256" s="178" t="s">
        <v>60</v>
      </c>
      <c r="D256" s="52"/>
      <c r="E256" s="53"/>
      <c r="F256" s="180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4"/>
      <c r="C257" s="214"/>
      <c r="D257" s="214"/>
      <c r="E257" s="214"/>
      <c r="F257" s="215"/>
      <c r="G257" s="214"/>
      <c r="H257" s="216"/>
      <c r="I257" s="139"/>
      <c r="J257" s="177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4"/>
      <c r="C258" s="214"/>
      <c r="D258" s="214"/>
      <c r="E258" s="214"/>
      <c r="F258" s="215"/>
      <c r="G258" s="214"/>
      <c r="H258" s="216">
        <f t="shared" ref="H258:H270" si="240">+G258*F258</f>
        <v>0</v>
      </c>
      <c r="I258" s="139"/>
      <c r="J258" s="177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7"/>
      <c r="C259" s="217"/>
      <c r="D259" s="217"/>
      <c r="E259" s="217"/>
      <c r="F259" s="218"/>
      <c r="G259" s="217"/>
      <c r="H259" s="194">
        <f t="shared" si="240"/>
        <v>0</v>
      </c>
      <c r="I259" s="139"/>
      <c r="J259" s="177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1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7"/>
      <c r="C260" s="217"/>
      <c r="D260" s="217"/>
      <c r="E260" s="217"/>
      <c r="F260" s="218"/>
      <c r="G260" s="217"/>
      <c r="H260" s="194">
        <f t="shared" si="240"/>
        <v>0</v>
      </c>
      <c r="I260" s="139"/>
      <c r="J260" s="177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7"/>
      <c r="C261" s="217"/>
      <c r="D261" s="217"/>
      <c r="E261" s="217"/>
      <c r="F261" s="218"/>
      <c r="G261" s="217"/>
      <c r="H261" s="194">
        <f t="shared" si="240"/>
        <v>0</v>
      </c>
      <c r="I261" s="139"/>
      <c r="J261" s="177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4">
        <v>6.0</v>
      </c>
      <c r="B262" s="217"/>
      <c r="C262" s="217"/>
      <c r="D262" s="217"/>
      <c r="E262" s="217"/>
      <c r="F262" s="218"/>
      <c r="G262" s="217"/>
      <c r="H262" s="194">
        <f t="shared" si="240"/>
        <v>0</v>
      </c>
      <c r="I262" s="139"/>
      <c r="J262" s="139">
        <f t="shared" si="237"/>
        <v>0</v>
      </c>
      <c r="K262" s="220"/>
      <c r="L262" s="220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4">
        <v>7.0</v>
      </c>
      <c r="B263" s="217"/>
      <c r="C263" s="217"/>
      <c r="D263" s="217"/>
      <c r="E263" s="217"/>
      <c r="F263" s="218"/>
      <c r="G263" s="217"/>
      <c r="H263" s="194">
        <f t="shared" si="240"/>
        <v>0</v>
      </c>
      <c r="I263" s="139"/>
      <c r="J263" s="139">
        <f t="shared" si="237"/>
        <v>0</v>
      </c>
      <c r="K263" s="220"/>
      <c r="L263" s="220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4">
        <v>8.0</v>
      </c>
      <c r="B264" s="217"/>
      <c r="C264" s="217"/>
      <c r="D264" s="217"/>
      <c r="E264" s="217"/>
      <c r="F264" s="218"/>
      <c r="G264" s="217"/>
      <c r="H264" s="194">
        <f t="shared" si="240"/>
        <v>0</v>
      </c>
      <c r="I264" s="139"/>
      <c r="J264" s="139">
        <f t="shared" si="237"/>
        <v>0</v>
      </c>
      <c r="K264" s="220"/>
      <c r="L264" s="220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4">
        <v>9.0</v>
      </c>
      <c r="B265" s="217"/>
      <c r="C265" s="217"/>
      <c r="D265" s="217"/>
      <c r="E265" s="217"/>
      <c r="F265" s="218"/>
      <c r="G265" s="217"/>
      <c r="H265" s="194">
        <f t="shared" si="240"/>
        <v>0</v>
      </c>
      <c r="I265" s="139"/>
      <c r="J265" s="139">
        <f t="shared" si="237"/>
        <v>0</v>
      </c>
      <c r="K265" s="220"/>
      <c r="L265" s="220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4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39"/>
      <c r="J266" s="139"/>
      <c r="K266" s="220"/>
      <c r="L266" s="220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4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39"/>
      <c r="J267" s="139"/>
      <c r="K267" s="220"/>
      <c r="L267" s="220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4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39"/>
      <c r="J268" s="139"/>
      <c r="K268" s="220"/>
      <c r="L268" s="220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4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39"/>
      <c r="J269" s="139"/>
      <c r="K269" s="220"/>
      <c r="L269" s="220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4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39"/>
      <c r="J270" s="139"/>
      <c r="K270" s="220"/>
      <c r="L270" s="220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5"/>
      <c r="C271" s="195"/>
      <c r="D271" s="195"/>
      <c r="E271" s="195"/>
      <c r="F271" s="221" t="s">
        <v>38</v>
      </c>
      <c r="G271" s="195"/>
      <c r="H271" s="222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3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3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3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3"/>
      <c r="Q274" s="223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3"/>
      <c r="Q275" s="223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3"/>
      <c r="Q276" s="223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7"/>
      <c r="B277" s="160" t="s">
        <v>12</v>
      </c>
      <c r="C277" s="178" t="s">
        <v>61</v>
      </c>
      <c r="D277" s="52"/>
      <c r="E277" s="53"/>
      <c r="F277" s="180" t="s">
        <v>14</v>
      </c>
      <c r="G277" s="225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3"/>
      <c r="Q277" s="223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98"/>
      <c r="D278" s="198"/>
      <c r="E278" s="198"/>
      <c r="F278" s="226"/>
      <c r="G278" s="198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7"/>
      <c r="P278" s="223"/>
      <c r="Q278" s="223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0">
        <v>2.0</v>
      </c>
      <c r="B279" s="228"/>
      <c r="C279" s="198"/>
      <c r="D279" s="198"/>
      <c r="E279" s="198"/>
      <c r="F279" s="226"/>
      <c r="G279" s="198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7"/>
      <c r="P279" s="223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0">
        <v>3.0</v>
      </c>
      <c r="B280" s="228"/>
      <c r="C280" s="198"/>
      <c r="D280" s="198"/>
      <c r="E280" s="198"/>
      <c r="F280" s="226"/>
      <c r="G280" s="198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7"/>
      <c r="P280" s="223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0">
        <v>4.0</v>
      </c>
      <c r="B281" s="228"/>
      <c r="C281" s="198"/>
      <c r="D281" s="198"/>
      <c r="E281" s="198"/>
      <c r="F281" s="226"/>
      <c r="G281" s="198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7"/>
      <c r="P281" s="223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0">
        <v>5.0</v>
      </c>
      <c r="B282" s="228"/>
      <c r="C282" s="198"/>
      <c r="D282" s="198"/>
      <c r="E282" s="198"/>
      <c r="F282" s="226"/>
      <c r="G282" s="198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7"/>
      <c r="P282" s="223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0">
        <v>6.0</v>
      </c>
      <c r="B283" s="228"/>
      <c r="C283" s="198"/>
      <c r="D283" s="198"/>
      <c r="E283" s="198"/>
      <c r="F283" s="226"/>
      <c r="G283" s="198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7"/>
      <c r="P283" s="223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0">
        <v>7.0</v>
      </c>
      <c r="B284" s="228"/>
      <c r="C284" s="198"/>
      <c r="D284" s="198"/>
      <c r="E284" s="198"/>
      <c r="F284" s="226"/>
      <c r="G284" s="198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7"/>
      <c r="P284" s="223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0">
        <v>8.0</v>
      </c>
      <c r="B285" s="228"/>
      <c r="C285" s="198"/>
      <c r="D285" s="198"/>
      <c r="E285" s="198"/>
      <c r="F285" s="226"/>
      <c r="G285" s="198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7"/>
      <c r="P285" s="223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0">
        <v>9.0</v>
      </c>
      <c r="B286" s="228"/>
      <c r="C286" s="198"/>
      <c r="D286" s="198"/>
      <c r="E286" s="198"/>
      <c r="F286" s="226"/>
      <c r="G286" s="198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7"/>
      <c r="P286" s="223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0">
        <v>10.0</v>
      </c>
      <c r="B287" s="228"/>
      <c r="C287" s="198"/>
      <c r="D287" s="198"/>
      <c r="E287" s="198"/>
      <c r="F287" s="226"/>
      <c r="G287" s="198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7"/>
      <c r="P287" s="223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7"/>
      <c r="AD287" s="177"/>
      <c r="AE287" s="177"/>
      <c r="AF287" s="177"/>
      <c r="AG287" s="177"/>
      <c r="AH287" s="177"/>
      <c r="AI287" s="177"/>
    </row>
    <row r="288" ht="24.75" hidden="1" customHeight="1">
      <c r="A288" s="160">
        <v>11.0</v>
      </c>
      <c r="B288" s="228"/>
      <c r="C288" s="198"/>
      <c r="D288" s="198"/>
      <c r="E288" s="198"/>
      <c r="F288" s="226"/>
      <c r="G288" s="198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7"/>
      <c r="P288" s="223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7"/>
      <c r="AD288" s="177"/>
      <c r="AE288" s="177"/>
      <c r="AF288" s="177"/>
      <c r="AG288" s="177"/>
      <c r="AH288" s="177"/>
      <c r="AI288" s="177"/>
    </row>
    <row r="289" ht="24.75" hidden="1" customHeight="1">
      <c r="A289" s="160">
        <v>12.0</v>
      </c>
      <c r="B289" s="228"/>
      <c r="C289" s="198"/>
      <c r="D289" s="198"/>
      <c r="E289" s="198"/>
      <c r="F289" s="226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7"/>
      <c r="P289" s="223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7"/>
      <c r="AD289" s="177"/>
      <c r="AE289" s="177"/>
      <c r="AF289" s="177"/>
      <c r="AG289" s="177"/>
      <c r="AH289" s="177"/>
      <c r="AI289" s="177"/>
    </row>
    <row r="290" ht="24.75" hidden="1" customHeight="1">
      <c r="A290" s="160">
        <v>13.0</v>
      </c>
      <c r="B290" s="228"/>
      <c r="C290" s="198"/>
      <c r="D290" s="198"/>
      <c r="E290" s="198"/>
      <c r="F290" s="226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7"/>
      <c r="P290" s="223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7"/>
      <c r="AD290" s="177"/>
      <c r="AE290" s="177"/>
      <c r="AF290" s="177"/>
      <c r="AG290" s="177"/>
      <c r="AH290" s="177"/>
      <c r="AI290" s="177"/>
    </row>
    <row r="291" ht="24.75" hidden="1" customHeight="1">
      <c r="A291" s="160">
        <v>14.0</v>
      </c>
      <c r="B291" s="228"/>
      <c r="C291" s="198"/>
      <c r="D291" s="198"/>
      <c r="E291" s="198"/>
      <c r="F291" s="226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7"/>
      <c r="P291" s="223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7"/>
      <c r="AD291" s="177"/>
      <c r="AE291" s="177"/>
      <c r="AF291" s="177"/>
      <c r="AG291" s="177"/>
      <c r="AH291" s="177"/>
      <c r="AI291" s="177"/>
    </row>
    <row r="292" ht="24.75" hidden="1" customHeight="1">
      <c r="A292" s="160">
        <v>15.0</v>
      </c>
      <c r="B292" s="228"/>
      <c r="C292" s="198"/>
      <c r="D292" s="198"/>
      <c r="E292" s="198"/>
      <c r="F292" s="226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7"/>
      <c r="P292" s="223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7"/>
      <c r="AD292" s="177"/>
      <c r="AE292" s="177"/>
      <c r="AF292" s="177"/>
      <c r="AG292" s="177"/>
      <c r="AH292" s="177"/>
      <c r="AI292" s="177"/>
    </row>
    <row r="293" ht="24.75" hidden="1" customHeight="1">
      <c r="A293" s="160">
        <v>16.0</v>
      </c>
      <c r="B293" s="228"/>
      <c r="C293" s="198"/>
      <c r="D293" s="198"/>
      <c r="E293" s="198"/>
      <c r="F293" s="226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7"/>
      <c r="P293" s="223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7"/>
      <c r="AD293" s="177"/>
      <c r="AE293" s="177"/>
      <c r="AF293" s="177"/>
      <c r="AG293" s="177"/>
      <c r="AH293" s="177"/>
      <c r="AI293" s="177"/>
    </row>
    <row r="294" ht="24.75" hidden="1" customHeight="1">
      <c r="A294" s="160">
        <v>17.0</v>
      </c>
      <c r="B294" s="228"/>
      <c r="C294" s="198"/>
      <c r="D294" s="198"/>
      <c r="E294" s="198"/>
      <c r="F294" s="226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7"/>
      <c r="P294" s="223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7"/>
      <c r="AD294" s="177"/>
      <c r="AE294" s="177"/>
      <c r="AF294" s="177"/>
      <c r="AG294" s="177"/>
      <c r="AH294" s="177"/>
      <c r="AI294" s="177"/>
    </row>
    <row r="295" ht="24.75" hidden="1" customHeight="1">
      <c r="A295" s="160">
        <v>18.0</v>
      </c>
      <c r="B295" s="228"/>
      <c r="C295" s="198"/>
      <c r="D295" s="198"/>
      <c r="E295" s="198"/>
      <c r="F295" s="226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7"/>
      <c r="P295" s="223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7"/>
      <c r="AD295" s="177"/>
      <c r="AE295" s="177"/>
      <c r="AF295" s="177"/>
      <c r="AG295" s="177"/>
      <c r="AH295" s="177"/>
      <c r="AI295" s="177"/>
    </row>
    <row r="296" ht="24.75" hidden="1" customHeight="1">
      <c r="A296" s="160">
        <v>19.0</v>
      </c>
      <c r="B296" s="228"/>
      <c r="C296" s="198"/>
      <c r="D296" s="198"/>
      <c r="E296" s="198"/>
      <c r="F296" s="226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7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7"/>
      <c r="AD296" s="177"/>
      <c r="AE296" s="177"/>
      <c r="AF296" s="177"/>
      <c r="AG296" s="177"/>
      <c r="AH296" s="177"/>
      <c r="AI296" s="177"/>
    </row>
    <row r="297" ht="24.75" hidden="1" customHeight="1">
      <c r="A297" s="160">
        <v>20.0</v>
      </c>
      <c r="B297" s="228"/>
      <c r="C297" s="198"/>
      <c r="D297" s="198"/>
      <c r="E297" s="198"/>
      <c r="F297" s="226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7"/>
      <c r="P297" s="223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0">
        <v>21.0</v>
      </c>
      <c r="B298" s="228"/>
      <c r="C298" s="198"/>
      <c r="D298" s="198"/>
      <c r="E298" s="198"/>
      <c r="F298" s="226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7"/>
      <c r="P298" s="223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0">
        <v>22.0</v>
      </c>
      <c r="B299" s="228"/>
      <c r="C299" s="198"/>
      <c r="D299" s="198"/>
      <c r="E299" s="198"/>
      <c r="F299" s="226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0">
        <v>23.0</v>
      </c>
      <c r="B300" s="228"/>
      <c r="C300" s="198"/>
      <c r="D300" s="198"/>
      <c r="E300" s="198"/>
      <c r="F300" s="226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0">
        <v>24.0</v>
      </c>
      <c r="B301" s="228"/>
      <c r="C301" s="198"/>
      <c r="D301" s="198"/>
      <c r="E301" s="198"/>
      <c r="F301" s="226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0">
        <v>25.0</v>
      </c>
      <c r="B302" s="228"/>
      <c r="C302" s="198"/>
      <c r="D302" s="198"/>
      <c r="E302" s="198"/>
      <c r="F302" s="226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0">
        <v>26.0</v>
      </c>
      <c r="B303" s="228"/>
      <c r="C303" s="198"/>
      <c r="D303" s="198"/>
      <c r="E303" s="198"/>
      <c r="F303" s="226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0">
        <v>27.0</v>
      </c>
      <c r="B304" s="228"/>
      <c r="C304" s="198"/>
      <c r="D304" s="198"/>
      <c r="E304" s="198"/>
      <c r="F304" s="19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0">
        <v>28.0</v>
      </c>
      <c r="B305" s="228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0">
        <v>29.0</v>
      </c>
      <c r="B306" s="229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0">
        <v>30.0</v>
      </c>
      <c r="B307" s="229"/>
      <c r="C307" s="198"/>
      <c r="D307" s="198"/>
      <c r="E307" s="198"/>
      <c r="F307" s="226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0">
        <v>31.0</v>
      </c>
      <c r="B308" s="217"/>
      <c r="C308" s="198"/>
      <c r="D308" s="198"/>
      <c r="E308" s="198"/>
      <c r="F308" s="226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0">
        <v>32.0</v>
      </c>
      <c r="B309" s="217"/>
      <c r="C309" s="160"/>
      <c r="D309" s="160"/>
      <c r="E309" s="160"/>
      <c r="F309" s="160"/>
      <c r="G309" s="160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0">
        <v>33.0</v>
      </c>
      <c r="B310" s="229"/>
      <c r="C310" s="160"/>
      <c r="D310" s="160"/>
      <c r="E310" s="160"/>
      <c r="F310" s="160"/>
      <c r="G310" s="160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0">
        <v>34.0</v>
      </c>
      <c r="B311" s="230"/>
      <c r="C311" s="160"/>
      <c r="D311" s="160"/>
      <c r="E311" s="160"/>
      <c r="F311" s="160"/>
      <c r="G311" s="160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0">
        <v>35.0</v>
      </c>
      <c r="B312" s="231"/>
      <c r="C312" s="160"/>
      <c r="D312" s="160"/>
      <c r="E312" s="160"/>
      <c r="F312" s="160"/>
      <c r="G312" s="160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2">
        <f>SUM(H278:H312)</f>
        <v>0</v>
      </c>
      <c r="I313" s="233"/>
      <c r="J313" s="233"/>
      <c r="K313" s="233"/>
      <c r="L313" s="233"/>
      <c r="M313" s="233"/>
      <c r="N313" s="233"/>
      <c r="O313" s="233"/>
      <c r="P313" s="139"/>
      <c r="Q313" s="223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4">
        <f>+H313*60%</f>
        <v>0</v>
      </c>
      <c r="I314" s="204"/>
      <c r="J314" s="204"/>
      <c r="K314" s="204"/>
      <c r="L314" s="204"/>
      <c r="M314" s="204"/>
      <c r="N314" s="204"/>
      <c r="O314" s="204">
        <f>+H313*40%</f>
        <v>0</v>
      </c>
      <c r="P314" s="139"/>
      <c r="Q314" s="223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3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3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4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3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5"/>
      <c r="B318" s="236" t="s">
        <v>42</v>
      </c>
      <c r="C318" s="236" t="s">
        <v>43</v>
      </c>
      <c r="D318" s="236" t="s">
        <v>44</v>
      </c>
      <c r="E318" s="236" t="s">
        <v>45</v>
      </c>
      <c r="F318" s="237" t="s">
        <v>46</v>
      </c>
      <c r="G318" s="238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3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39" t="s">
        <v>48</v>
      </c>
      <c r="B319" s="240">
        <f>+E25</f>
        <v>0</v>
      </c>
      <c r="C319" s="241">
        <f>+H250</f>
        <v>0</v>
      </c>
      <c r="D319" s="241">
        <f>+H271</f>
        <v>0</v>
      </c>
      <c r="E319" s="242">
        <f>H314</f>
        <v>0</v>
      </c>
      <c r="F319" s="243">
        <f>+G25</f>
        <v>0</v>
      </c>
      <c r="G319" s="244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3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5" t="s">
        <v>49</v>
      </c>
      <c r="B320" s="246"/>
      <c r="C320" s="247" t="str">
        <f>+C319/B319</f>
        <v>#DIV/0!</v>
      </c>
      <c r="D320" s="247" t="str">
        <f>+D319/B319</f>
        <v>#DIV/0!</v>
      </c>
      <c r="E320" s="247" t="str">
        <f>+E319/B319</f>
        <v>#DIV/0!</v>
      </c>
      <c r="F320" s="248" t="str">
        <f>+F319/B319</f>
        <v>#DIV/0!</v>
      </c>
      <c r="G320" s="249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3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20"/>
      <c r="C321" s="250"/>
      <c r="D321" s="250"/>
      <c r="E321" s="250"/>
      <c r="F321" s="251"/>
      <c r="G321" s="252"/>
      <c r="H321" s="139"/>
      <c r="I321" s="139"/>
      <c r="J321" s="139"/>
      <c r="K321" s="139"/>
      <c r="L321" s="139"/>
      <c r="M321" s="139"/>
      <c r="N321" s="139"/>
      <c r="O321" s="139"/>
      <c r="P321" s="141"/>
      <c r="Q321" s="223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3"/>
      <c r="B322" s="254"/>
      <c r="C322" s="254"/>
      <c r="D322" s="254" t="s">
        <v>50</v>
      </c>
      <c r="E322" s="254" t="s">
        <v>48</v>
      </c>
      <c r="F322" s="255">
        <f>+D319+E319+F319+G319</f>
        <v>0</v>
      </c>
      <c r="G322" s="256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7"/>
      <c r="B323" s="139"/>
      <c r="C323" s="139"/>
      <c r="D323" s="139"/>
      <c r="E323" s="139" t="s">
        <v>49</v>
      </c>
      <c r="F323" s="251" t="str">
        <f>+F322/B319</f>
        <v>#DIV/0!</v>
      </c>
      <c r="G323" s="258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7"/>
      <c r="B324" s="139"/>
      <c r="C324" s="139" t="s">
        <v>51</v>
      </c>
      <c r="D324" s="139"/>
      <c r="E324" s="139"/>
      <c r="F324" s="140"/>
      <c r="G324" s="258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7"/>
      <c r="B325" s="139"/>
      <c r="C325" s="139"/>
      <c r="D325" s="139" t="s">
        <v>52</v>
      </c>
      <c r="E325" s="139"/>
      <c r="F325" s="140">
        <f>+F324*(F322-F319)</f>
        <v>0</v>
      </c>
      <c r="G325" s="258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59"/>
      <c r="B326" s="260"/>
      <c r="C326" s="260"/>
      <c r="D326" s="260"/>
      <c r="E326" s="260"/>
      <c r="F326" s="261"/>
      <c r="G326" s="262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3"/>
      <c r="G330" s="7"/>
      <c r="H330" s="7"/>
      <c r="I330" s="7"/>
      <c r="J330" s="7"/>
      <c r="K330" s="7"/>
      <c r="L330" s="7"/>
      <c r="M330" s="7"/>
      <c r="N330" s="7"/>
      <c r="O330" s="7"/>
      <c r="P330" s="264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3"/>
      <c r="G331" s="7"/>
      <c r="H331" s="7"/>
      <c r="I331" s="7"/>
      <c r="J331" s="7"/>
      <c r="K331" s="7"/>
      <c r="L331" s="7"/>
      <c r="M331" s="7"/>
      <c r="N331" s="7"/>
      <c r="O331" s="7"/>
      <c r="P331" s="264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3"/>
      <c r="G332" s="7"/>
      <c r="H332" s="7"/>
      <c r="I332" s="7"/>
      <c r="J332" s="7"/>
      <c r="K332" s="7"/>
      <c r="L332" s="7"/>
      <c r="M332" s="7"/>
      <c r="N332" s="7"/>
      <c r="O332" s="7"/>
      <c r="P332" s="264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3"/>
      <c r="G333" s="7"/>
      <c r="H333" s="7"/>
      <c r="I333" s="7"/>
      <c r="J333" s="7"/>
      <c r="K333" s="7"/>
      <c r="L333" s="7"/>
      <c r="M333" s="7"/>
      <c r="N333" s="7"/>
      <c r="O333" s="7"/>
      <c r="P333" s="264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3"/>
      <c r="G334" s="7"/>
      <c r="H334" s="7"/>
      <c r="I334" s="7"/>
      <c r="J334" s="7"/>
      <c r="K334" s="7"/>
      <c r="L334" s="7"/>
      <c r="M334" s="7"/>
      <c r="N334" s="7"/>
      <c r="O334" s="7"/>
      <c r="P334" s="264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3"/>
      <c r="G335" s="7"/>
      <c r="H335" s="7"/>
      <c r="I335" s="7"/>
      <c r="J335" s="7"/>
      <c r="K335" s="7"/>
      <c r="L335" s="7"/>
      <c r="M335" s="7"/>
      <c r="N335" s="7"/>
      <c r="O335" s="7"/>
      <c r="P335" s="264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3"/>
      <c r="G336" s="7"/>
      <c r="H336" s="7"/>
      <c r="I336" s="7"/>
      <c r="J336" s="7"/>
      <c r="K336" s="7"/>
      <c r="L336" s="7"/>
      <c r="M336" s="7"/>
      <c r="N336" s="7"/>
      <c r="O336" s="7"/>
      <c r="P336" s="264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3"/>
      <c r="G337" s="7"/>
      <c r="H337" s="7"/>
      <c r="I337" s="7"/>
      <c r="J337" s="7"/>
      <c r="K337" s="7"/>
      <c r="L337" s="7"/>
      <c r="M337" s="7"/>
      <c r="N337" s="7"/>
      <c r="O337" s="7"/>
      <c r="P337" s="264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3"/>
      <c r="G338" s="7"/>
      <c r="H338" s="7"/>
      <c r="I338" s="7"/>
      <c r="J338" s="7"/>
      <c r="K338" s="7"/>
      <c r="L338" s="7"/>
      <c r="M338" s="7"/>
      <c r="N338" s="7"/>
      <c r="O338" s="7"/>
      <c r="P338" s="264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3"/>
      <c r="G339" s="7"/>
      <c r="H339" s="7"/>
      <c r="I339" s="7"/>
      <c r="J339" s="7"/>
      <c r="K339" s="7"/>
      <c r="L339" s="7"/>
      <c r="M339" s="7"/>
      <c r="N339" s="7"/>
      <c r="O339" s="7"/>
      <c r="P339" s="264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3"/>
      <c r="G340" s="7"/>
      <c r="H340" s="7"/>
      <c r="I340" s="7"/>
      <c r="J340" s="7"/>
      <c r="K340" s="7"/>
      <c r="L340" s="7"/>
      <c r="M340" s="7"/>
      <c r="N340" s="7"/>
      <c r="O340" s="7"/>
      <c r="P340" s="264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3"/>
      <c r="G341" s="7"/>
      <c r="H341" s="7"/>
      <c r="I341" s="7"/>
      <c r="J341" s="7"/>
      <c r="K341" s="7"/>
      <c r="L341" s="7"/>
      <c r="M341" s="7"/>
      <c r="N341" s="7"/>
      <c r="O341" s="7"/>
      <c r="P341" s="264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3"/>
      <c r="G342" s="7"/>
      <c r="H342" s="7"/>
      <c r="I342" s="7"/>
      <c r="J342" s="7"/>
      <c r="K342" s="7"/>
      <c r="L342" s="7"/>
      <c r="M342" s="7"/>
      <c r="N342" s="7"/>
      <c r="O342" s="7"/>
      <c r="P342" s="264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3"/>
      <c r="G343" s="7"/>
      <c r="H343" s="7"/>
      <c r="I343" s="7"/>
      <c r="J343" s="7"/>
      <c r="K343" s="7"/>
      <c r="L343" s="7"/>
      <c r="M343" s="7"/>
      <c r="N343" s="7"/>
      <c r="O343" s="7"/>
      <c r="P343" s="264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3"/>
      <c r="G344" s="7"/>
      <c r="H344" s="7"/>
      <c r="I344" s="7"/>
      <c r="J344" s="7"/>
      <c r="K344" s="7"/>
      <c r="L344" s="7"/>
      <c r="M344" s="7"/>
      <c r="N344" s="7"/>
      <c r="O344" s="7"/>
      <c r="P344" s="264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3"/>
      <c r="G345" s="7"/>
      <c r="H345" s="7"/>
      <c r="I345" s="7"/>
      <c r="J345" s="7"/>
      <c r="K345" s="7"/>
      <c r="L345" s="7"/>
      <c r="M345" s="7"/>
      <c r="N345" s="7"/>
      <c r="O345" s="7"/>
      <c r="P345" s="264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3"/>
      <c r="G346" s="7"/>
      <c r="H346" s="7"/>
      <c r="I346" s="7"/>
      <c r="J346" s="7"/>
      <c r="K346" s="7"/>
      <c r="L346" s="7"/>
      <c r="M346" s="7"/>
      <c r="N346" s="7"/>
      <c r="O346" s="7"/>
      <c r="P346" s="264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3"/>
      <c r="G347" s="7"/>
      <c r="H347" s="7"/>
      <c r="I347" s="7"/>
      <c r="J347" s="7"/>
      <c r="K347" s="7"/>
      <c r="L347" s="7"/>
      <c r="M347" s="7"/>
      <c r="N347" s="7"/>
      <c r="O347" s="7"/>
      <c r="P347" s="264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3"/>
      <c r="G348" s="7"/>
      <c r="H348" s="7"/>
      <c r="I348" s="7"/>
      <c r="J348" s="7"/>
      <c r="K348" s="7"/>
      <c r="L348" s="7"/>
      <c r="M348" s="7"/>
      <c r="N348" s="7"/>
      <c r="O348" s="7"/>
      <c r="P348" s="264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3"/>
      <c r="G349" s="7"/>
      <c r="H349" s="7"/>
      <c r="I349" s="7"/>
      <c r="J349" s="7"/>
      <c r="K349" s="7"/>
      <c r="L349" s="7"/>
      <c r="M349" s="7"/>
      <c r="N349" s="7"/>
      <c r="O349" s="7"/>
      <c r="P349" s="264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3"/>
      <c r="G350" s="7"/>
      <c r="H350" s="7"/>
      <c r="I350" s="7"/>
      <c r="J350" s="7"/>
      <c r="K350" s="7"/>
      <c r="L350" s="7"/>
      <c r="M350" s="7"/>
      <c r="N350" s="7"/>
      <c r="O350" s="7"/>
      <c r="P350" s="264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3"/>
      <c r="G351" s="7"/>
      <c r="H351" s="7"/>
      <c r="I351" s="7"/>
      <c r="J351" s="7"/>
      <c r="K351" s="7"/>
      <c r="L351" s="7"/>
      <c r="M351" s="7"/>
      <c r="N351" s="7"/>
      <c r="O351" s="7"/>
      <c r="P351" s="264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3"/>
      <c r="G352" s="7"/>
      <c r="H352" s="7"/>
      <c r="I352" s="7"/>
      <c r="J352" s="7"/>
      <c r="K352" s="7"/>
      <c r="L352" s="7"/>
      <c r="M352" s="7"/>
      <c r="N352" s="7"/>
      <c r="O352" s="7"/>
      <c r="P352" s="264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3"/>
      <c r="G353" s="7"/>
      <c r="H353" s="7"/>
      <c r="I353" s="7"/>
      <c r="J353" s="7"/>
      <c r="K353" s="7"/>
      <c r="L353" s="7"/>
      <c r="M353" s="7"/>
      <c r="N353" s="7"/>
      <c r="O353" s="7"/>
      <c r="P353" s="264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3"/>
      <c r="G354" s="7"/>
      <c r="H354" s="7"/>
      <c r="I354" s="7"/>
      <c r="J354" s="7"/>
      <c r="K354" s="7"/>
      <c r="L354" s="7"/>
      <c r="M354" s="7"/>
      <c r="N354" s="7"/>
      <c r="O354" s="7"/>
      <c r="P354" s="264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3"/>
      <c r="G355" s="7"/>
      <c r="H355" s="7"/>
      <c r="I355" s="7"/>
      <c r="J355" s="7"/>
      <c r="K355" s="7"/>
      <c r="L355" s="7"/>
      <c r="M355" s="7"/>
      <c r="N355" s="7"/>
      <c r="O355" s="7"/>
      <c r="P355" s="264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3"/>
      <c r="G356" s="7"/>
      <c r="H356" s="7"/>
      <c r="I356" s="7"/>
      <c r="J356" s="7"/>
      <c r="K356" s="7"/>
      <c r="L356" s="7"/>
      <c r="M356" s="7"/>
      <c r="N356" s="7"/>
      <c r="O356" s="7"/>
      <c r="P356" s="264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3"/>
      <c r="G357" s="7"/>
      <c r="H357" s="7"/>
      <c r="I357" s="7"/>
      <c r="J357" s="7"/>
      <c r="K357" s="7"/>
      <c r="L357" s="7"/>
      <c r="M357" s="7"/>
      <c r="N357" s="7"/>
      <c r="O357" s="7"/>
      <c r="P357" s="264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3"/>
      <c r="G358" s="7"/>
      <c r="H358" s="7"/>
      <c r="I358" s="7"/>
      <c r="J358" s="7"/>
      <c r="K358" s="7"/>
      <c r="L358" s="7"/>
      <c r="M358" s="7"/>
      <c r="N358" s="7"/>
      <c r="O358" s="7"/>
      <c r="P358" s="264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3"/>
      <c r="G359" s="7"/>
      <c r="H359" s="7"/>
      <c r="I359" s="7"/>
      <c r="J359" s="7"/>
      <c r="K359" s="7"/>
      <c r="L359" s="7"/>
      <c r="M359" s="7"/>
      <c r="N359" s="7"/>
      <c r="O359" s="7"/>
      <c r="P359" s="264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3"/>
      <c r="G360" s="7"/>
      <c r="H360" s="7"/>
      <c r="I360" s="7"/>
      <c r="J360" s="7"/>
      <c r="K360" s="7"/>
      <c r="L360" s="7"/>
      <c r="M360" s="7"/>
      <c r="N360" s="7"/>
      <c r="O360" s="7"/>
      <c r="P360" s="264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3"/>
      <c r="G361" s="7"/>
      <c r="H361" s="7"/>
      <c r="I361" s="7"/>
      <c r="J361" s="7"/>
      <c r="K361" s="7"/>
      <c r="L361" s="7"/>
      <c r="M361" s="7"/>
      <c r="N361" s="7"/>
      <c r="O361" s="7"/>
      <c r="P361" s="264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3"/>
      <c r="G362" s="7"/>
      <c r="H362" s="7"/>
      <c r="I362" s="7"/>
      <c r="J362" s="7"/>
      <c r="K362" s="7"/>
      <c r="L362" s="7"/>
      <c r="M362" s="7"/>
      <c r="N362" s="7"/>
      <c r="O362" s="7"/>
      <c r="P362" s="264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3"/>
      <c r="G363" s="7"/>
      <c r="H363" s="7"/>
      <c r="I363" s="7"/>
      <c r="J363" s="7"/>
      <c r="K363" s="7"/>
      <c r="L363" s="7"/>
      <c r="M363" s="7"/>
      <c r="N363" s="7"/>
      <c r="O363" s="7"/>
      <c r="P363" s="264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3"/>
      <c r="G364" s="7"/>
      <c r="H364" s="7"/>
      <c r="I364" s="7"/>
      <c r="J364" s="7"/>
      <c r="K364" s="7"/>
      <c r="L364" s="7"/>
      <c r="M364" s="7"/>
      <c r="N364" s="7"/>
      <c r="O364" s="7"/>
      <c r="P364" s="264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3"/>
      <c r="G365" s="7"/>
      <c r="H365" s="7"/>
      <c r="I365" s="7"/>
      <c r="J365" s="7"/>
      <c r="K365" s="7"/>
      <c r="L365" s="7"/>
      <c r="M365" s="7"/>
      <c r="N365" s="7"/>
      <c r="O365" s="7"/>
      <c r="P365" s="264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3"/>
      <c r="G366" s="7"/>
      <c r="H366" s="7"/>
      <c r="I366" s="7"/>
      <c r="J366" s="7"/>
      <c r="K366" s="7"/>
      <c r="L366" s="7"/>
      <c r="M366" s="7"/>
      <c r="N366" s="7"/>
      <c r="O366" s="7"/>
      <c r="P366" s="264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3"/>
      <c r="G367" s="7"/>
      <c r="H367" s="7"/>
      <c r="I367" s="7"/>
      <c r="J367" s="7"/>
      <c r="K367" s="7"/>
      <c r="L367" s="7"/>
      <c r="M367" s="7"/>
      <c r="N367" s="7"/>
      <c r="O367" s="7"/>
      <c r="P367" s="264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3"/>
      <c r="G368" s="7"/>
      <c r="H368" s="7"/>
      <c r="I368" s="7"/>
      <c r="J368" s="7"/>
      <c r="K368" s="7"/>
      <c r="L368" s="7"/>
      <c r="M368" s="7"/>
      <c r="N368" s="7"/>
      <c r="O368" s="7"/>
      <c r="P368" s="264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3"/>
      <c r="G369" s="7"/>
      <c r="H369" s="7"/>
      <c r="I369" s="7"/>
      <c r="J369" s="7"/>
      <c r="K369" s="7"/>
      <c r="L369" s="7"/>
      <c r="M369" s="7"/>
      <c r="N369" s="7"/>
      <c r="O369" s="7"/>
      <c r="P369" s="264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3"/>
      <c r="G370" s="7"/>
      <c r="H370" s="7"/>
      <c r="I370" s="7"/>
      <c r="J370" s="7"/>
      <c r="K370" s="7"/>
      <c r="L370" s="7"/>
      <c r="M370" s="7"/>
      <c r="N370" s="7"/>
      <c r="O370" s="7"/>
      <c r="P370" s="264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3"/>
      <c r="G371" s="7"/>
      <c r="H371" s="7"/>
      <c r="I371" s="7"/>
      <c r="J371" s="7"/>
      <c r="K371" s="7"/>
      <c r="L371" s="7"/>
      <c r="M371" s="7"/>
      <c r="N371" s="7"/>
      <c r="O371" s="7"/>
      <c r="P371" s="264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3"/>
      <c r="G372" s="7"/>
      <c r="H372" s="7"/>
      <c r="I372" s="7"/>
      <c r="J372" s="7"/>
      <c r="K372" s="7"/>
      <c r="L372" s="7"/>
      <c r="M372" s="7"/>
      <c r="N372" s="7"/>
      <c r="O372" s="7"/>
      <c r="P372" s="264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3"/>
      <c r="G373" s="7"/>
      <c r="H373" s="7"/>
      <c r="I373" s="7"/>
      <c r="J373" s="7"/>
      <c r="K373" s="7"/>
      <c r="L373" s="7"/>
      <c r="M373" s="7"/>
      <c r="N373" s="7"/>
      <c r="O373" s="7"/>
      <c r="P373" s="264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3"/>
      <c r="G374" s="7"/>
      <c r="H374" s="7"/>
      <c r="I374" s="7"/>
      <c r="J374" s="7"/>
      <c r="K374" s="7"/>
      <c r="L374" s="7"/>
      <c r="M374" s="7"/>
      <c r="N374" s="7"/>
      <c r="O374" s="7"/>
      <c r="P374" s="264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3"/>
      <c r="G375" s="7"/>
      <c r="H375" s="7"/>
      <c r="I375" s="7"/>
      <c r="J375" s="7"/>
      <c r="K375" s="7"/>
      <c r="L375" s="7"/>
      <c r="M375" s="7"/>
      <c r="N375" s="7"/>
      <c r="O375" s="7"/>
      <c r="P375" s="264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3"/>
      <c r="G376" s="7"/>
      <c r="H376" s="7"/>
      <c r="I376" s="7"/>
      <c r="J376" s="7"/>
      <c r="K376" s="7"/>
      <c r="L376" s="7"/>
      <c r="M376" s="7"/>
      <c r="N376" s="7"/>
      <c r="O376" s="7"/>
      <c r="P376" s="264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3"/>
      <c r="G377" s="7"/>
      <c r="H377" s="7"/>
      <c r="I377" s="7"/>
      <c r="J377" s="7"/>
      <c r="K377" s="7"/>
      <c r="L377" s="7"/>
      <c r="M377" s="7"/>
      <c r="N377" s="7"/>
      <c r="O377" s="7"/>
      <c r="P377" s="264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3"/>
      <c r="G378" s="7"/>
      <c r="H378" s="7"/>
      <c r="I378" s="7"/>
      <c r="J378" s="7"/>
      <c r="K378" s="7"/>
      <c r="L378" s="7"/>
      <c r="M378" s="7"/>
      <c r="N378" s="7"/>
      <c r="O378" s="7"/>
      <c r="P378" s="264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3"/>
      <c r="G379" s="7"/>
      <c r="H379" s="7"/>
      <c r="I379" s="7"/>
      <c r="J379" s="7"/>
      <c r="K379" s="7"/>
      <c r="L379" s="7"/>
      <c r="M379" s="7"/>
      <c r="N379" s="7"/>
      <c r="O379" s="7"/>
      <c r="P379" s="264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3"/>
      <c r="G380" s="7"/>
      <c r="H380" s="7"/>
      <c r="I380" s="7"/>
      <c r="J380" s="7"/>
      <c r="K380" s="7"/>
      <c r="L380" s="7"/>
      <c r="M380" s="7"/>
      <c r="N380" s="7"/>
      <c r="O380" s="7"/>
      <c r="P380" s="264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3"/>
      <c r="G381" s="7"/>
      <c r="H381" s="7"/>
      <c r="I381" s="7"/>
      <c r="J381" s="7"/>
      <c r="K381" s="7"/>
      <c r="L381" s="7"/>
      <c r="M381" s="7"/>
      <c r="N381" s="7"/>
      <c r="O381" s="7"/>
      <c r="P381" s="264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3"/>
      <c r="G382" s="7"/>
      <c r="H382" s="7"/>
      <c r="I382" s="7"/>
      <c r="J382" s="7"/>
      <c r="K382" s="7"/>
      <c r="L382" s="7"/>
      <c r="M382" s="7"/>
      <c r="N382" s="7"/>
      <c r="O382" s="7"/>
      <c r="P382" s="264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3"/>
      <c r="G383" s="7"/>
      <c r="H383" s="7"/>
      <c r="I383" s="7"/>
      <c r="J383" s="7"/>
      <c r="K383" s="7"/>
      <c r="L383" s="7"/>
      <c r="M383" s="7"/>
      <c r="N383" s="7"/>
      <c r="O383" s="7"/>
      <c r="P383" s="264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3"/>
      <c r="G384" s="7"/>
      <c r="H384" s="7"/>
      <c r="I384" s="7"/>
      <c r="J384" s="7"/>
      <c r="K384" s="7"/>
      <c r="L384" s="7"/>
      <c r="M384" s="7"/>
      <c r="N384" s="7"/>
      <c r="O384" s="7"/>
      <c r="P384" s="264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3"/>
      <c r="G385" s="7"/>
      <c r="H385" s="7"/>
      <c r="I385" s="7"/>
      <c r="J385" s="7"/>
      <c r="K385" s="7"/>
      <c r="L385" s="7"/>
      <c r="M385" s="7"/>
      <c r="N385" s="7"/>
      <c r="O385" s="7"/>
      <c r="P385" s="264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3"/>
      <c r="G386" s="7"/>
      <c r="H386" s="7"/>
      <c r="I386" s="7"/>
      <c r="J386" s="7"/>
      <c r="K386" s="7"/>
      <c r="L386" s="7"/>
      <c r="M386" s="7"/>
      <c r="N386" s="7"/>
      <c r="O386" s="7"/>
      <c r="P386" s="264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3"/>
      <c r="G387" s="7"/>
      <c r="H387" s="7"/>
      <c r="I387" s="7"/>
      <c r="J387" s="7"/>
      <c r="K387" s="7"/>
      <c r="L387" s="7"/>
      <c r="M387" s="7"/>
      <c r="N387" s="7"/>
      <c r="O387" s="7"/>
      <c r="P387" s="264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3"/>
      <c r="G388" s="7"/>
      <c r="H388" s="7"/>
      <c r="I388" s="7"/>
      <c r="J388" s="7"/>
      <c r="K388" s="7"/>
      <c r="L388" s="7"/>
      <c r="M388" s="7"/>
      <c r="N388" s="7"/>
      <c r="O388" s="7"/>
      <c r="P388" s="264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3"/>
      <c r="G389" s="7"/>
      <c r="H389" s="7"/>
      <c r="I389" s="7"/>
      <c r="J389" s="7"/>
      <c r="K389" s="7"/>
      <c r="L389" s="7"/>
      <c r="M389" s="7"/>
      <c r="N389" s="7"/>
      <c r="O389" s="7"/>
      <c r="P389" s="264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3"/>
      <c r="G390" s="7"/>
      <c r="H390" s="7"/>
      <c r="I390" s="7"/>
      <c r="J390" s="7"/>
      <c r="K390" s="7"/>
      <c r="L390" s="7"/>
      <c r="M390" s="7"/>
      <c r="N390" s="7"/>
      <c r="O390" s="7"/>
      <c r="P390" s="264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3"/>
      <c r="G391" s="7"/>
      <c r="H391" s="7"/>
      <c r="I391" s="7"/>
      <c r="J391" s="7"/>
      <c r="K391" s="7"/>
      <c r="L391" s="7"/>
      <c r="M391" s="7"/>
      <c r="N391" s="7"/>
      <c r="O391" s="7"/>
      <c r="P391" s="264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3"/>
      <c r="G392" s="7"/>
      <c r="H392" s="7"/>
      <c r="I392" s="7"/>
      <c r="J392" s="7"/>
      <c r="K392" s="7"/>
      <c r="L392" s="7"/>
      <c r="M392" s="7"/>
      <c r="N392" s="7"/>
      <c r="O392" s="7"/>
      <c r="P392" s="264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3"/>
      <c r="G393" s="7"/>
      <c r="H393" s="7"/>
      <c r="I393" s="7"/>
      <c r="J393" s="7"/>
      <c r="K393" s="7"/>
      <c r="L393" s="7"/>
      <c r="M393" s="7"/>
      <c r="N393" s="7"/>
      <c r="O393" s="7"/>
      <c r="P393" s="264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3"/>
      <c r="G394" s="7"/>
      <c r="H394" s="7"/>
      <c r="I394" s="7"/>
      <c r="J394" s="7"/>
      <c r="K394" s="7"/>
      <c r="L394" s="7"/>
      <c r="M394" s="7"/>
      <c r="N394" s="7"/>
      <c r="O394" s="7"/>
      <c r="P394" s="264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3"/>
      <c r="G395" s="7"/>
      <c r="H395" s="7"/>
      <c r="I395" s="7"/>
      <c r="J395" s="7"/>
      <c r="K395" s="7"/>
      <c r="L395" s="7"/>
      <c r="M395" s="7"/>
      <c r="N395" s="7"/>
      <c r="O395" s="7"/>
      <c r="P395" s="264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3"/>
      <c r="G396" s="7"/>
      <c r="H396" s="7"/>
      <c r="I396" s="7"/>
      <c r="J396" s="7"/>
      <c r="K396" s="7"/>
      <c r="L396" s="7"/>
      <c r="M396" s="7"/>
      <c r="N396" s="7"/>
      <c r="O396" s="7"/>
      <c r="P396" s="264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3"/>
      <c r="G397" s="7"/>
      <c r="H397" s="7"/>
      <c r="I397" s="7"/>
      <c r="J397" s="7"/>
      <c r="K397" s="7"/>
      <c r="L397" s="7"/>
      <c r="M397" s="7"/>
      <c r="N397" s="7"/>
      <c r="O397" s="7"/>
      <c r="P397" s="264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3"/>
      <c r="G398" s="7"/>
      <c r="H398" s="7"/>
      <c r="I398" s="7"/>
      <c r="J398" s="7"/>
      <c r="K398" s="7"/>
      <c r="L398" s="7"/>
      <c r="M398" s="7"/>
      <c r="N398" s="7"/>
      <c r="O398" s="7"/>
      <c r="P398" s="264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3"/>
      <c r="G399" s="7"/>
      <c r="H399" s="7"/>
      <c r="I399" s="7"/>
      <c r="J399" s="7"/>
      <c r="K399" s="7"/>
      <c r="L399" s="7"/>
      <c r="M399" s="7"/>
      <c r="N399" s="7"/>
      <c r="O399" s="7"/>
      <c r="P399" s="264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3"/>
      <c r="G400" s="7"/>
      <c r="H400" s="7"/>
      <c r="I400" s="7"/>
      <c r="J400" s="7"/>
      <c r="K400" s="7"/>
      <c r="L400" s="7"/>
      <c r="M400" s="7"/>
      <c r="N400" s="7"/>
      <c r="O400" s="7"/>
      <c r="P400" s="264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3"/>
      <c r="G401" s="7"/>
      <c r="H401" s="7"/>
      <c r="I401" s="7"/>
      <c r="J401" s="7"/>
      <c r="K401" s="7"/>
      <c r="L401" s="7"/>
      <c r="M401" s="7"/>
      <c r="N401" s="7"/>
      <c r="O401" s="7"/>
      <c r="P401" s="264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3"/>
      <c r="G402" s="7"/>
      <c r="H402" s="7"/>
      <c r="I402" s="7"/>
      <c r="J402" s="7"/>
      <c r="K402" s="7"/>
      <c r="L402" s="7"/>
      <c r="M402" s="7"/>
      <c r="N402" s="7"/>
      <c r="O402" s="7"/>
      <c r="P402" s="264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3"/>
      <c r="G403" s="7"/>
      <c r="H403" s="7"/>
      <c r="I403" s="7"/>
      <c r="J403" s="7"/>
      <c r="K403" s="7"/>
      <c r="L403" s="7"/>
      <c r="M403" s="7"/>
      <c r="N403" s="7"/>
      <c r="O403" s="7"/>
      <c r="P403" s="264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3"/>
      <c r="G404" s="7"/>
      <c r="H404" s="7"/>
      <c r="I404" s="7"/>
      <c r="J404" s="7"/>
      <c r="K404" s="7"/>
      <c r="L404" s="7"/>
      <c r="M404" s="7"/>
      <c r="N404" s="7"/>
      <c r="O404" s="7"/>
      <c r="P404" s="264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3"/>
      <c r="G405" s="7"/>
      <c r="H405" s="7"/>
      <c r="I405" s="7"/>
      <c r="J405" s="7"/>
      <c r="K405" s="7"/>
      <c r="L405" s="7"/>
      <c r="M405" s="7"/>
      <c r="N405" s="7"/>
      <c r="O405" s="7"/>
      <c r="P405" s="264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3"/>
      <c r="G406" s="7"/>
      <c r="H406" s="7"/>
      <c r="I406" s="7"/>
      <c r="J406" s="7"/>
      <c r="K406" s="7"/>
      <c r="L406" s="7"/>
      <c r="M406" s="7"/>
      <c r="N406" s="7"/>
      <c r="O406" s="7"/>
      <c r="P406" s="264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3"/>
      <c r="G407" s="7"/>
      <c r="H407" s="7"/>
      <c r="I407" s="7"/>
      <c r="J407" s="7"/>
      <c r="K407" s="7"/>
      <c r="L407" s="7"/>
      <c r="M407" s="7"/>
      <c r="N407" s="7"/>
      <c r="O407" s="7"/>
      <c r="P407" s="264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3"/>
      <c r="G408" s="7"/>
      <c r="H408" s="7"/>
      <c r="I408" s="7"/>
      <c r="J408" s="7"/>
      <c r="K408" s="7"/>
      <c r="L408" s="7"/>
      <c r="M408" s="7"/>
      <c r="N408" s="7"/>
      <c r="O408" s="7"/>
      <c r="P408" s="264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3"/>
      <c r="G409" s="7"/>
      <c r="H409" s="7"/>
      <c r="I409" s="7"/>
      <c r="J409" s="7"/>
      <c r="K409" s="7"/>
      <c r="L409" s="7"/>
      <c r="M409" s="7"/>
      <c r="N409" s="7"/>
      <c r="O409" s="7"/>
      <c r="P409" s="264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3"/>
      <c r="G410" s="7"/>
      <c r="H410" s="7"/>
      <c r="I410" s="7"/>
      <c r="J410" s="7"/>
      <c r="K410" s="7"/>
      <c r="L410" s="7"/>
      <c r="M410" s="7"/>
      <c r="N410" s="7"/>
      <c r="O410" s="7"/>
      <c r="P410" s="264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3"/>
      <c r="G411" s="7"/>
      <c r="H411" s="7"/>
      <c r="I411" s="7"/>
      <c r="J411" s="7"/>
      <c r="K411" s="7"/>
      <c r="L411" s="7"/>
      <c r="M411" s="7"/>
      <c r="N411" s="7"/>
      <c r="O411" s="7"/>
      <c r="P411" s="264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3"/>
      <c r="G412" s="7"/>
      <c r="H412" s="7"/>
      <c r="I412" s="7"/>
      <c r="J412" s="7"/>
      <c r="K412" s="7"/>
      <c r="L412" s="7"/>
      <c r="M412" s="7"/>
      <c r="N412" s="7"/>
      <c r="O412" s="7"/>
      <c r="P412" s="264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3"/>
      <c r="G413" s="7"/>
      <c r="H413" s="7"/>
      <c r="I413" s="7"/>
      <c r="J413" s="7"/>
      <c r="K413" s="7"/>
      <c r="L413" s="7"/>
      <c r="M413" s="7"/>
      <c r="N413" s="7"/>
      <c r="O413" s="7"/>
      <c r="P413" s="264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3"/>
      <c r="G414" s="7"/>
      <c r="H414" s="7"/>
      <c r="I414" s="7"/>
      <c r="J414" s="7"/>
      <c r="K414" s="7"/>
      <c r="L414" s="7"/>
      <c r="M414" s="7"/>
      <c r="N414" s="7"/>
      <c r="O414" s="7"/>
      <c r="P414" s="264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3"/>
      <c r="G415" s="7"/>
      <c r="H415" s="7"/>
      <c r="I415" s="7"/>
      <c r="J415" s="7"/>
      <c r="K415" s="7"/>
      <c r="L415" s="7"/>
      <c r="M415" s="7"/>
      <c r="N415" s="7"/>
      <c r="O415" s="7"/>
      <c r="P415" s="264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3"/>
      <c r="G416" s="7"/>
      <c r="H416" s="7"/>
      <c r="I416" s="7"/>
      <c r="J416" s="7"/>
      <c r="K416" s="7"/>
      <c r="L416" s="7"/>
      <c r="M416" s="7"/>
      <c r="N416" s="7"/>
      <c r="O416" s="7"/>
      <c r="P416" s="264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3"/>
      <c r="G417" s="7"/>
      <c r="H417" s="7"/>
      <c r="I417" s="7"/>
      <c r="J417" s="7"/>
      <c r="K417" s="7"/>
      <c r="L417" s="7"/>
      <c r="M417" s="7"/>
      <c r="N417" s="7"/>
      <c r="O417" s="7"/>
      <c r="P417" s="264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3"/>
      <c r="G418" s="7"/>
      <c r="H418" s="7"/>
      <c r="I418" s="7"/>
      <c r="J418" s="7"/>
      <c r="K418" s="7"/>
      <c r="L418" s="7"/>
      <c r="M418" s="7"/>
      <c r="N418" s="7"/>
      <c r="O418" s="7"/>
      <c r="P418" s="264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3"/>
      <c r="G419" s="7"/>
      <c r="H419" s="7"/>
      <c r="I419" s="7"/>
      <c r="J419" s="7"/>
      <c r="K419" s="7"/>
      <c r="L419" s="7"/>
      <c r="M419" s="7"/>
      <c r="N419" s="7"/>
      <c r="O419" s="7"/>
      <c r="P419" s="264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3"/>
      <c r="G420" s="7"/>
      <c r="H420" s="7"/>
      <c r="I420" s="7"/>
      <c r="J420" s="7"/>
      <c r="K420" s="7"/>
      <c r="L420" s="7"/>
      <c r="M420" s="7"/>
      <c r="N420" s="7"/>
      <c r="O420" s="7"/>
      <c r="P420" s="264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3"/>
      <c r="G421" s="7"/>
      <c r="H421" s="7"/>
      <c r="I421" s="7"/>
      <c r="J421" s="7"/>
      <c r="K421" s="7"/>
      <c r="L421" s="7"/>
      <c r="M421" s="7"/>
      <c r="N421" s="7"/>
      <c r="O421" s="7"/>
      <c r="P421" s="264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3"/>
      <c r="G422" s="7"/>
      <c r="H422" s="7"/>
      <c r="I422" s="7"/>
      <c r="J422" s="7"/>
      <c r="K422" s="7"/>
      <c r="L422" s="7"/>
      <c r="M422" s="7"/>
      <c r="N422" s="7"/>
      <c r="O422" s="7"/>
      <c r="P422" s="264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3"/>
      <c r="G423" s="7"/>
      <c r="H423" s="7"/>
      <c r="I423" s="7"/>
      <c r="J423" s="7"/>
      <c r="K423" s="7"/>
      <c r="L423" s="7"/>
      <c r="M423" s="7"/>
      <c r="N423" s="7"/>
      <c r="O423" s="7"/>
      <c r="P423" s="264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3"/>
      <c r="G424" s="7"/>
      <c r="H424" s="7"/>
      <c r="I424" s="7"/>
      <c r="J424" s="7"/>
      <c r="K424" s="7"/>
      <c r="L424" s="7"/>
      <c r="M424" s="7"/>
      <c r="N424" s="7"/>
      <c r="O424" s="7"/>
      <c r="P424" s="264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3"/>
      <c r="G425" s="7"/>
      <c r="H425" s="7"/>
      <c r="I425" s="7"/>
      <c r="J425" s="7"/>
      <c r="K425" s="7"/>
      <c r="L425" s="7"/>
      <c r="M425" s="7"/>
      <c r="N425" s="7"/>
      <c r="O425" s="7"/>
      <c r="P425" s="264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3"/>
      <c r="G426" s="7"/>
      <c r="H426" s="7"/>
      <c r="I426" s="7"/>
      <c r="J426" s="7"/>
      <c r="K426" s="7"/>
      <c r="L426" s="7"/>
      <c r="M426" s="7"/>
      <c r="N426" s="7"/>
      <c r="O426" s="7"/>
      <c r="P426" s="264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3"/>
      <c r="G427" s="7"/>
      <c r="H427" s="7"/>
      <c r="I427" s="7"/>
      <c r="J427" s="7"/>
      <c r="K427" s="7"/>
      <c r="L427" s="7"/>
      <c r="M427" s="7"/>
      <c r="N427" s="7"/>
      <c r="O427" s="7"/>
      <c r="P427" s="264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3"/>
      <c r="G428" s="7"/>
      <c r="H428" s="7"/>
      <c r="I428" s="7"/>
      <c r="J428" s="7"/>
      <c r="K428" s="7"/>
      <c r="L428" s="7"/>
      <c r="M428" s="7"/>
      <c r="N428" s="7"/>
      <c r="O428" s="7"/>
      <c r="P428" s="264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3"/>
      <c r="G429" s="7"/>
      <c r="H429" s="7"/>
      <c r="I429" s="7"/>
      <c r="J429" s="7"/>
      <c r="K429" s="7"/>
      <c r="L429" s="7"/>
      <c r="M429" s="7"/>
      <c r="N429" s="7"/>
      <c r="O429" s="7"/>
      <c r="P429" s="264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3"/>
      <c r="G430" s="7"/>
      <c r="H430" s="7"/>
      <c r="I430" s="7"/>
      <c r="J430" s="7"/>
      <c r="K430" s="7"/>
      <c r="L430" s="7"/>
      <c r="M430" s="7"/>
      <c r="N430" s="7"/>
      <c r="O430" s="7"/>
      <c r="P430" s="264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3"/>
      <c r="G431" s="7"/>
      <c r="H431" s="7"/>
      <c r="I431" s="7"/>
      <c r="J431" s="7"/>
      <c r="K431" s="7"/>
      <c r="L431" s="7"/>
      <c r="M431" s="7"/>
      <c r="N431" s="7"/>
      <c r="O431" s="7"/>
      <c r="P431" s="264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3"/>
      <c r="G432" s="7"/>
      <c r="H432" s="7"/>
      <c r="I432" s="7"/>
      <c r="J432" s="7"/>
      <c r="K432" s="7"/>
      <c r="L432" s="7"/>
      <c r="M432" s="7"/>
      <c r="N432" s="7"/>
      <c r="O432" s="7"/>
      <c r="P432" s="264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3"/>
      <c r="G433" s="7"/>
      <c r="H433" s="7"/>
      <c r="I433" s="7"/>
      <c r="J433" s="7"/>
      <c r="K433" s="7"/>
      <c r="L433" s="7"/>
      <c r="M433" s="7"/>
      <c r="N433" s="7"/>
      <c r="O433" s="7"/>
      <c r="P433" s="264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3"/>
      <c r="G434" s="7"/>
      <c r="H434" s="7"/>
      <c r="I434" s="7"/>
      <c r="J434" s="7"/>
      <c r="K434" s="7"/>
      <c r="L434" s="7"/>
      <c r="M434" s="7"/>
      <c r="N434" s="7"/>
      <c r="O434" s="7"/>
      <c r="P434" s="264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3"/>
      <c r="G435" s="7"/>
      <c r="H435" s="7"/>
      <c r="I435" s="7"/>
      <c r="J435" s="7"/>
      <c r="K435" s="7"/>
      <c r="L435" s="7"/>
      <c r="M435" s="7"/>
      <c r="N435" s="7"/>
      <c r="O435" s="7"/>
      <c r="P435" s="264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3"/>
      <c r="G436" s="7"/>
      <c r="H436" s="7"/>
      <c r="I436" s="7"/>
      <c r="J436" s="7"/>
      <c r="K436" s="7"/>
      <c r="L436" s="7"/>
      <c r="M436" s="7"/>
      <c r="N436" s="7"/>
      <c r="O436" s="7"/>
      <c r="P436" s="264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3"/>
      <c r="G437" s="7"/>
      <c r="H437" s="7"/>
      <c r="I437" s="7"/>
      <c r="J437" s="7"/>
      <c r="K437" s="7"/>
      <c r="L437" s="7"/>
      <c r="M437" s="7"/>
      <c r="N437" s="7"/>
      <c r="O437" s="7"/>
      <c r="P437" s="264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3"/>
      <c r="G438" s="7"/>
      <c r="H438" s="7"/>
      <c r="I438" s="7"/>
      <c r="J438" s="7"/>
      <c r="K438" s="7"/>
      <c r="L438" s="7"/>
      <c r="M438" s="7"/>
      <c r="N438" s="7"/>
      <c r="O438" s="7"/>
      <c r="P438" s="264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3"/>
      <c r="G439" s="7"/>
      <c r="H439" s="7"/>
      <c r="I439" s="7"/>
      <c r="J439" s="7"/>
      <c r="K439" s="7"/>
      <c r="L439" s="7"/>
      <c r="M439" s="7"/>
      <c r="N439" s="7"/>
      <c r="O439" s="7"/>
      <c r="P439" s="264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3"/>
      <c r="G440" s="7"/>
      <c r="H440" s="7"/>
      <c r="I440" s="7"/>
      <c r="J440" s="7"/>
      <c r="K440" s="7"/>
      <c r="L440" s="7"/>
      <c r="M440" s="7"/>
      <c r="N440" s="7"/>
      <c r="O440" s="7"/>
      <c r="P440" s="264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3"/>
      <c r="G441" s="7"/>
      <c r="H441" s="7"/>
      <c r="I441" s="7"/>
      <c r="J441" s="7"/>
      <c r="K441" s="7"/>
      <c r="L441" s="7"/>
      <c r="M441" s="7"/>
      <c r="N441" s="7"/>
      <c r="O441" s="7"/>
      <c r="P441" s="264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3"/>
      <c r="G442" s="7"/>
      <c r="H442" s="7"/>
      <c r="I442" s="7"/>
      <c r="J442" s="7"/>
      <c r="K442" s="7"/>
      <c r="L442" s="7"/>
      <c r="M442" s="7"/>
      <c r="N442" s="7"/>
      <c r="O442" s="7"/>
      <c r="P442" s="264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3"/>
      <c r="G443" s="7"/>
      <c r="H443" s="7"/>
      <c r="I443" s="7"/>
      <c r="J443" s="7"/>
      <c r="K443" s="7"/>
      <c r="L443" s="7"/>
      <c r="M443" s="7"/>
      <c r="N443" s="7"/>
      <c r="O443" s="7"/>
      <c r="P443" s="264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3"/>
      <c r="G444" s="7"/>
      <c r="H444" s="7"/>
      <c r="I444" s="7"/>
      <c r="J444" s="7"/>
      <c r="K444" s="7"/>
      <c r="L444" s="7"/>
      <c r="M444" s="7"/>
      <c r="N444" s="7"/>
      <c r="O444" s="7"/>
      <c r="P444" s="264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3"/>
      <c r="G445" s="7"/>
      <c r="H445" s="7"/>
      <c r="I445" s="7"/>
      <c r="J445" s="7"/>
      <c r="K445" s="7"/>
      <c r="L445" s="7"/>
      <c r="M445" s="7"/>
      <c r="N445" s="7"/>
      <c r="O445" s="7"/>
      <c r="P445" s="264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3"/>
      <c r="G446" s="7"/>
      <c r="H446" s="7"/>
      <c r="I446" s="7"/>
      <c r="J446" s="7"/>
      <c r="K446" s="7"/>
      <c r="L446" s="7"/>
      <c r="M446" s="7"/>
      <c r="N446" s="7"/>
      <c r="O446" s="7"/>
      <c r="P446" s="264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3"/>
      <c r="G447" s="7"/>
      <c r="H447" s="7"/>
      <c r="I447" s="7"/>
      <c r="J447" s="7"/>
      <c r="K447" s="7"/>
      <c r="L447" s="7"/>
      <c r="M447" s="7"/>
      <c r="N447" s="7"/>
      <c r="O447" s="7"/>
      <c r="P447" s="264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3"/>
      <c r="G448" s="7"/>
      <c r="H448" s="7"/>
      <c r="I448" s="7"/>
      <c r="J448" s="7"/>
      <c r="K448" s="7"/>
      <c r="L448" s="7"/>
      <c r="M448" s="7"/>
      <c r="N448" s="7"/>
      <c r="O448" s="7"/>
      <c r="P448" s="264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3"/>
      <c r="G449" s="7"/>
      <c r="H449" s="7"/>
      <c r="I449" s="7"/>
      <c r="J449" s="7"/>
      <c r="K449" s="7"/>
      <c r="L449" s="7"/>
      <c r="M449" s="7"/>
      <c r="N449" s="7"/>
      <c r="O449" s="7"/>
      <c r="P449" s="264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3"/>
      <c r="G450" s="7"/>
      <c r="H450" s="7"/>
      <c r="I450" s="7"/>
      <c r="J450" s="7"/>
      <c r="K450" s="7"/>
      <c r="L450" s="7"/>
      <c r="M450" s="7"/>
      <c r="N450" s="7"/>
      <c r="O450" s="7"/>
      <c r="P450" s="264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3"/>
      <c r="G451" s="7"/>
      <c r="H451" s="7"/>
      <c r="I451" s="7"/>
      <c r="J451" s="7"/>
      <c r="K451" s="7"/>
      <c r="L451" s="7"/>
      <c r="M451" s="7"/>
      <c r="N451" s="7"/>
      <c r="O451" s="7"/>
      <c r="P451" s="264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3"/>
      <c r="G452" s="7"/>
      <c r="H452" s="7"/>
      <c r="I452" s="7"/>
      <c r="J452" s="7"/>
      <c r="K452" s="7"/>
      <c r="L452" s="7"/>
      <c r="M452" s="7"/>
      <c r="N452" s="7"/>
      <c r="O452" s="7"/>
      <c r="P452" s="264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3"/>
      <c r="G453" s="7"/>
      <c r="H453" s="7"/>
      <c r="I453" s="7"/>
      <c r="J453" s="7"/>
      <c r="K453" s="7"/>
      <c r="L453" s="7"/>
      <c r="M453" s="7"/>
      <c r="N453" s="7"/>
      <c r="O453" s="7"/>
      <c r="P453" s="264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3"/>
      <c r="G454" s="7"/>
      <c r="H454" s="7"/>
      <c r="I454" s="7"/>
      <c r="J454" s="7"/>
      <c r="K454" s="7"/>
      <c r="L454" s="7"/>
      <c r="M454" s="7"/>
      <c r="N454" s="7"/>
      <c r="O454" s="7"/>
      <c r="P454" s="264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3"/>
      <c r="G455" s="7"/>
      <c r="H455" s="7"/>
      <c r="I455" s="7"/>
      <c r="J455" s="7"/>
      <c r="K455" s="7"/>
      <c r="L455" s="7"/>
      <c r="M455" s="7"/>
      <c r="N455" s="7"/>
      <c r="O455" s="7"/>
      <c r="P455" s="264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3"/>
      <c r="G456" s="7"/>
      <c r="H456" s="7"/>
      <c r="I456" s="7"/>
      <c r="J456" s="7"/>
      <c r="K456" s="7"/>
      <c r="L456" s="7"/>
      <c r="M456" s="7"/>
      <c r="N456" s="7"/>
      <c r="O456" s="7"/>
      <c r="P456" s="264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3"/>
      <c r="G457" s="7"/>
      <c r="H457" s="7"/>
      <c r="I457" s="7"/>
      <c r="J457" s="7"/>
      <c r="K457" s="7"/>
      <c r="L457" s="7"/>
      <c r="M457" s="7"/>
      <c r="N457" s="7"/>
      <c r="O457" s="7"/>
      <c r="P457" s="264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3"/>
      <c r="G458" s="7"/>
      <c r="H458" s="7"/>
      <c r="I458" s="7"/>
      <c r="J458" s="7"/>
      <c r="K458" s="7"/>
      <c r="L458" s="7"/>
      <c r="M458" s="7"/>
      <c r="N458" s="7"/>
      <c r="O458" s="7"/>
      <c r="P458" s="264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3"/>
      <c r="G459" s="7"/>
      <c r="H459" s="7"/>
      <c r="I459" s="7"/>
      <c r="J459" s="7"/>
      <c r="K459" s="7"/>
      <c r="L459" s="7"/>
      <c r="M459" s="7"/>
      <c r="N459" s="7"/>
      <c r="O459" s="7"/>
      <c r="P459" s="264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3"/>
      <c r="G460" s="7"/>
      <c r="H460" s="7"/>
      <c r="I460" s="7"/>
      <c r="J460" s="7"/>
      <c r="K460" s="7"/>
      <c r="L460" s="7"/>
      <c r="M460" s="7"/>
      <c r="N460" s="7"/>
      <c r="O460" s="7"/>
      <c r="P460" s="264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3"/>
      <c r="G461" s="7"/>
      <c r="H461" s="7"/>
      <c r="I461" s="7"/>
      <c r="J461" s="7"/>
      <c r="K461" s="7"/>
      <c r="L461" s="7"/>
      <c r="M461" s="7"/>
      <c r="N461" s="7"/>
      <c r="O461" s="7"/>
      <c r="P461" s="264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3"/>
      <c r="G462" s="7"/>
      <c r="H462" s="7"/>
      <c r="I462" s="7"/>
      <c r="J462" s="7"/>
      <c r="K462" s="7"/>
      <c r="L462" s="7"/>
      <c r="M462" s="7"/>
      <c r="N462" s="7"/>
      <c r="O462" s="7"/>
      <c r="P462" s="264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3"/>
      <c r="G463" s="7"/>
      <c r="H463" s="7"/>
      <c r="I463" s="7"/>
      <c r="J463" s="7"/>
      <c r="K463" s="7"/>
      <c r="L463" s="7"/>
      <c r="M463" s="7"/>
      <c r="N463" s="7"/>
      <c r="O463" s="7"/>
      <c r="P463" s="264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3"/>
      <c r="G464" s="7"/>
      <c r="H464" s="7"/>
      <c r="I464" s="7"/>
      <c r="J464" s="7"/>
      <c r="K464" s="7"/>
      <c r="L464" s="7"/>
      <c r="M464" s="7"/>
      <c r="N464" s="7"/>
      <c r="O464" s="7"/>
      <c r="P464" s="264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3"/>
      <c r="G465" s="7"/>
      <c r="H465" s="7"/>
      <c r="I465" s="7"/>
      <c r="J465" s="7"/>
      <c r="K465" s="7"/>
      <c r="L465" s="7"/>
      <c r="M465" s="7"/>
      <c r="N465" s="7"/>
      <c r="O465" s="7"/>
      <c r="P465" s="264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3"/>
      <c r="G466" s="7"/>
      <c r="H466" s="7"/>
      <c r="I466" s="7"/>
      <c r="J466" s="7"/>
      <c r="K466" s="7"/>
      <c r="L466" s="7"/>
      <c r="M466" s="7"/>
      <c r="N466" s="7"/>
      <c r="O466" s="7"/>
      <c r="P466" s="264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3"/>
      <c r="G467" s="7"/>
      <c r="H467" s="7"/>
      <c r="I467" s="7"/>
      <c r="J467" s="7"/>
      <c r="K467" s="7"/>
      <c r="L467" s="7"/>
      <c r="M467" s="7"/>
      <c r="N467" s="7"/>
      <c r="O467" s="7"/>
      <c r="P467" s="264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3"/>
      <c r="G468" s="7"/>
      <c r="H468" s="7"/>
      <c r="I468" s="7"/>
      <c r="J468" s="7"/>
      <c r="K468" s="7"/>
      <c r="L468" s="7"/>
      <c r="M468" s="7"/>
      <c r="N468" s="7"/>
      <c r="O468" s="7"/>
      <c r="P468" s="264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3"/>
      <c r="G469" s="7"/>
      <c r="H469" s="7"/>
      <c r="I469" s="7"/>
      <c r="J469" s="7"/>
      <c r="K469" s="7"/>
      <c r="L469" s="7"/>
      <c r="M469" s="7"/>
      <c r="N469" s="7"/>
      <c r="O469" s="7"/>
      <c r="P469" s="264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3"/>
      <c r="G470" s="7"/>
      <c r="H470" s="7"/>
      <c r="I470" s="7"/>
      <c r="J470" s="7"/>
      <c r="K470" s="7"/>
      <c r="L470" s="7"/>
      <c r="M470" s="7"/>
      <c r="N470" s="7"/>
      <c r="O470" s="7"/>
      <c r="P470" s="264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3"/>
      <c r="G471" s="7"/>
      <c r="H471" s="7"/>
      <c r="I471" s="7"/>
      <c r="J471" s="7"/>
      <c r="K471" s="7"/>
      <c r="L471" s="7"/>
      <c r="M471" s="7"/>
      <c r="N471" s="7"/>
      <c r="O471" s="7"/>
      <c r="P471" s="264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3"/>
      <c r="G472" s="7"/>
      <c r="H472" s="7"/>
      <c r="I472" s="7"/>
      <c r="J472" s="7"/>
      <c r="K472" s="7"/>
      <c r="L472" s="7"/>
      <c r="M472" s="7"/>
      <c r="N472" s="7"/>
      <c r="O472" s="7"/>
      <c r="P472" s="264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3"/>
      <c r="G473" s="7"/>
      <c r="H473" s="7"/>
      <c r="I473" s="7"/>
      <c r="J473" s="7"/>
      <c r="K473" s="7"/>
      <c r="L473" s="7"/>
      <c r="M473" s="7"/>
      <c r="N473" s="7"/>
      <c r="O473" s="7"/>
      <c r="P473" s="264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3"/>
      <c r="G474" s="7"/>
      <c r="H474" s="7"/>
      <c r="I474" s="7"/>
      <c r="J474" s="7"/>
      <c r="K474" s="7"/>
      <c r="L474" s="7"/>
      <c r="M474" s="7"/>
      <c r="N474" s="7"/>
      <c r="O474" s="7"/>
      <c r="P474" s="264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3"/>
      <c r="G475" s="7"/>
      <c r="H475" s="7"/>
      <c r="I475" s="7"/>
      <c r="J475" s="7"/>
      <c r="K475" s="7"/>
      <c r="L475" s="7"/>
      <c r="M475" s="7"/>
      <c r="N475" s="7"/>
      <c r="O475" s="7"/>
      <c r="P475" s="264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3"/>
      <c r="G476" s="7"/>
      <c r="H476" s="7"/>
      <c r="I476" s="7"/>
      <c r="J476" s="7"/>
      <c r="K476" s="7"/>
      <c r="L476" s="7"/>
      <c r="M476" s="7"/>
      <c r="N476" s="7"/>
      <c r="O476" s="7"/>
      <c r="P476" s="264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3"/>
      <c r="G477" s="7"/>
      <c r="H477" s="7"/>
      <c r="I477" s="7"/>
      <c r="J477" s="7"/>
      <c r="K477" s="7"/>
      <c r="L477" s="7"/>
      <c r="M477" s="7"/>
      <c r="N477" s="7"/>
      <c r="O477" s="7"/>
      <c r="P477" s="264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3"/>
      <c r="G478" s="7"/>
      <c r="H478" s="7"/>
      <c r="I478" s="7"/>
      <c r="J478" s="7"/>
      <c r="K478" s="7"/>
      <c r="L478" s="7"/>
      <c r="M478" s="7"/>
      <c r="N478" s="7"/>
      <c r="O478" s="7"/>
      <c r="P478" s="264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3"/>
      <c r="G479" s="7"/>
      <c r="H479" s="7"/>
      <c r="I479" s="7"/>
      <c r="J479" s="7"/>
      <c r="K479" s="7"/>
      <c r="L479" s="7"/>
      <c r="M479" s="7"/>
      <c r="N479" s="7"/>
      <c r="O479" s="7"/>
      <c r="P479" s="264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3"/>
      <c r="G480" s="7"/>
      <c r="H480" s="7"/>
      <c r="I480" s="7"/>
      <c r="J480" s="7"/>
      <c r="K480" s="7"/>
      <c r="L480" s="7"/>
      <c r="M480" s="7"/>
      <c r="N480" s="7"/>
      <c r="O480" s="7"/>
      <c r="P480" s="264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3"/>
      <c r="G481" s="7"/>
      <c r="H481" s="7"/>
      <c r="I481" s="7"/>
      <c r="J481" s="7"/>
      <c r="K481" s="7"/>
      <c r="L481" s="7"/>
      <c r="M481" s="7"/>
      <c r="N481" s="7"/>
      <c r="O481" s="7"/>
      <c r="P481" s="264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3"/>
      <c r="G482" s="7"/>
      <c r="H482" s="7"/>
      <c r="I482" s="7"/>
      <c r="J482" s="7"/>
      <c r="K482" s="7"/>
      <c r="L482" s="7"/>
      <c r="M482" s="7"/>
      <c r="N482" s="7"/>
      <c r="O482" s="7"/>
      <c r="P482" s="264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3"/>
      <c r="G483" s="7"/>
      <c r="H483" s="7"/>
      <c r="I483" s="7"/>
      <c r="J483" s="7"/>
      <c r="K483" s="7"/>
      <c r="L483" s="7"/>
      <c r="M483" s="7"/>
      <c r="N483" s="7"/>
      <c r="O483" s="7"/>
      <c r="P483" s="264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3"/>
      <c r="G484" s="7"/>
      <c r="H484" s="7"/>
      <c r="I484" s="7"/>
      <c r="J484" s="7"/>
      <c r="K484" s="7"/>
      <c r="L484" s="7"/>
      <c r="M484" s="7"/>
      <c r="N484" s="7"/>
      <c r="O484" s="7"/>
      <c r="P484" s="264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3"/>
      <c r="G485" s="7"/>
      <c r="H485" s="7"/>
      <c r="I485" s="7"/>
      <c r="J485" s="7"/>
      <c r="K485" s="7"/>
      <c r="L485" s="7"/>
      <c r="M485" s="7"/>
      <c r="N485" s="7"/>
      <c r="O485" s="7"/>
      <c r="P485" s="264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3"/>
      <c r="G486" s="7"/>
      <c r="H486" s="7"/>
      <c r="I486" s="7"/>
      <c r="J486" s="7"/>
      <c r="K486" s="7"/>
      <c r="L486" s="7"/>
      <c r="M486" s="7"/>
      <c r="N486" s="7"/>
      <c r="O486" s="7"/>
      <c r="P486" s="264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3"/>
      <c r="G487" s="7"/>
      <c r="H487" s="7"/>
      <c r="I487" s="7"/>
      <c r="J487" s="7"/>
      <c r="K487" s="7"/>
      <c r="L487" s="7"/>
      <c r="M487" s="7"/>
      <c r="N487" s="7"/>
      <c r="O487" s="7"/>
      <c r="P487" s="264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3"/>
      <c r="G488" s="7"/>
      <c r="H488" s="7"/>
      <c r="I488" s="7"/>
      <c r="J488" s="7"/>
      <c r="K488" s="7"/>
      <c r="L488" s="7"/>
      <c r="M488" s="7"/>
      <c r="N488" s="7"/>
      <c r="O488" s="7"/>
      <c r="P488" s="264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3"/>
      <c r="G489" s="7"/>
      <c r="H489" s="7"/>
      <c r="I489" s="7"/>
      <c r="J489" s="7"/>
      <c r="K489" s="7"/>
      <c r="L489" s="7"/>
      <c r="M489" s="7"/>
      <c r="N489" s="7"/>
      <c r="O489" s="7"/>
      <c r="P489" s="264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3"/>
      <c r="G490" s="7"/>
      <c r="H490" s="7"/>
      <c r="I490" s="7"/>
      <c r="J490" s="7"/>
      <c r="K490" s="7"/>
      <c r="L490" s="7"/>
      <c r="M490" s="7"/>
      <c r="N490" s="7"/>
      <c r="O490" s="7"/>
      <c r="P490" s="264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3"/>
      <c r="G491" s="7"/>
      <c r="H491" s="7"/>
      <c r="I491" s="7"/>
      <c r="J491" s="7"/>
      <c r="K491" s="7"/>
      <c r="L491" s="7"/>
      <c r="M491" s="7"/>
      <c r="N491" s="7"/>
      <c r="O491" s="7"/>
      <c r="P491" s="264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3"/>
      <c r="G492" s="7"/>
      <c r="H492" s="7"/>
      <c r="I492" s="7"/>
      <c r="J492" s="7"/>
      <c r="K492" s="7"/>
      <c r="L492" s="7"/>
      <c r="M492" s="7"/>
      <c r="N492" s="7"/>
      <c r="O492" s="7"/>
      <c r="P492" s="264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3"/>
      <c r="G493" s="7"/>
      <c r="H493" s="7"/>
      <c r="I493" s="7"/>
      <c r="J493" s="7"/>
      <c r="K493" s="7"/>
      <c r="L493" s="7"/>
      <c r="M493" s="7"/>
      <c r="N493" s="7"/>
      <c r="O493" s="7"/>
      <c r="P493" s="264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3"/>
      <c r="G494" s="7"/>
      <c r="H494" s="7"/>
      <c r="I494" s="7"/>
      <c r="J494" s="7"/>
      <c r="K494" s="7"/>
      <c r="L494" s="7"/>
      <c r="M494" s="7"/>
      <c r="N494" s="7"/>
      <c r="O494" s="7"/>
      <c r="P494" s="264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3"/>
      <c r="G495" s="7"/>
      <c r="H495" s="7"/>
      <c r="I495" s="7"/>
      <c r="J495" s="7"/>
      <c r="K495" s="7"/>
      <c r="L495" s="7"/>
      <c r="M495" s="7"/>
      <c r="N495" s="7"/>
      <c r="O495" s="7"/>
      <c r="P495" s="264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3"/>
      <c r="G496" s="7"/>
      <c r="H496" s="7"/>
      <c r="I496" s="7"/>
      <c r="J496" s="7"/>
      <c r="K496" s="7"/>
      <c r="L496" s="7"/>
      <c r="M496" s="7"/>
      <c r="N496" s="7"/>
      <c r="O496" s="7"/>
      <c r="P496" s="264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3"/>
      <c r="G497" s="7"/>
      <c r="H497" s="7"/>
      <c r="I497" s="7"/>
      <c r="J497" s="7"/>
      <c r="K497" s="7"/>
      <c r="L497" s="7"/>
      <c r="M497" s="7"/>
      <c r="N497" s="7"/>
      <c r="O497" s="7"/>
      <c r="P497" s="264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3"/>
      <c r="G498" s="7"/>
      <c r="H498" s="7"/>
      <c r="I498" s="7"/>
      <c r="J498" s="7"/>
      <c r="K498" s="7"/>
      <c r="L498" s="7"/>
      <c r="M498" s="7"/>
      <c r="N498" s="7"/>
      <c r="O498" s="7"/>
      <c r="P498" s="264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3"/>
      <c r="G499" s="7"/>
      <c r="H499" s="7"/>
      <c r="I499" s="7"/>
      <c r="J499" s="7"/>
      <c r="K499" s="7"/>
      <c r="L499" s="7"/>
      <c r="M499" s="7"/>
      <c r="N499" s="7"/>
      <c r="O499" s="7"/>
      <c r="P499" s="264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3"/>
      <c r="G500" s="7"/>
      <c r="H500" s="7"/>
      <c r="I500" s="7"/>
      <c r="J500" s="7"/>
      <c r="K500" s="7"/>
      <c r="L500" s="7"/>
      <c r="M500" s="7"/>
      <c r="N500" s="7"/>
      <c r="O500" s="7"/>
      <c r="P500" s="264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3"/>
      <c r="G501" s="7"/>
      <c r="H501" s="7"/>
      <c r="I501" s="7"/>
      <c r="J501" s="7"/>
      <c r="K501" s="7"/>
      <c r="L501" s="7"/>
      <c r="M501" s="7"/>
      <c r="N501" s="7"/>
      <c r="O501" s="7"/>
      <c r="P501" s="264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3"/>
      <c r="G502" s="7"/>
      <c r="H502" s="7"/>
      <c r="I502" s="7"/>
      <c r="J502" s="7"/>
      <c r="K502" s="7"/>
      <c r="L502" s="7"/>
      <c r="M502" s="7"/>
      <c r="N502" s="7"/>
      <c r="O502" s="7"/>
      <c r="P502" s="264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3"/>
      <c r="G503" s="7"/>
      <c r="H503" s="7"/>
      <c r="I503" s="7"/>
      <c r="J503" s="7"/>
      <c r="K503" s="7"/>
      <c r="L503" s="7"/>
      <c r="M503" s="7"/>
      <c r="N503" s="7"/>
      <c r="O503" s="7"/>
      <c r="P503" s="264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3"/>
      <c r="G504" s="7"/>
      <c r="H504" s="7"/>
      <c r="I504" s="7"/>
      <c r="J504" s="7"/>
      <c r="K504" s="7"/>
      <c r="L504" s="7"/>
      <c r="M504" s="7"/>
      <c r="N504" s="7"/>
      <c r="O504" s="7"/>
      <c r="P504" s="264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3"/>
      <c r="G505" s="7"/>
      <c r="H505" s="7"/>
      <c r="I505" s="7"/>
      <c r="J505" s="7"/>
      <c r="K505" s="7"/>
      <c r="L505" s="7"/>
      <c r="M505" s="7"/>
      <c r="N505" s="7"/>
      <c r="O505" s="7"/>
      <c r="P505" s="264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3"/>
      <c r="G506" s="7"/>
      <c r="H506" s="7"/>
      <c r="I506" s="7"/>
      <c r="J506" s="7"/>
      <c r="K506" s="7"/>
      <c r="L506" s="7"/>
      <c r="M506" s="7"/>
      <c r="N506" s="7"/>
      <c r="O506" s="7"/>
      <c r="P506" s="264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3"/>
      <c r="G507" s="7"/>
      <c r="H507" s="7"/>
      <c r="I507" s="7"/>
      <c r="J507" s="7"/>
      <c r="K507" s="7"/>
      <c r="L507" s="7"/>
      <c r="M507" s="7"/>
      <c r="N507" s="7"/>
      <c r="O507" s="7"/>
      <c r="P507" s="264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3"/>
      <c r="G508" s="7"/>
      <c r="H508" s="7"/>
      <c r="I508" s="7"/>
      <c r="J508" s="7"/>
      <c r="K508" s="7"/>
      <c r="L508" s="7"/>
      <c r="M508" s="7"/>
      <c r="N508" s="7"/>
      <c r="O508" s="7"/>
      <c r="P508" s="264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3"/>
      <c r="G509" s="7"/>
      <c r="H509" s="7"/>
      <c r="I509" s="7"/>
      <c r="J509" s="7"/>
      <c r="K509" s="7"/>
      <c r="L509" s="7"/>
      <c r="M509" s="7"/>
      <c r="N509" s="7"/>
      <c r="O509" s="7"/>
      <c r="P509" s="264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3"/>
      <c r="G510" s="7"/>
      <c r="H510" s="7"/>
      <c r="I510" s="7"/>
      <c r="J510" s="7"/>
      <c r="K510" s="7"/>
      <c r="L510" s="7"/>
      <c r="M510" s="7"/>
      <c r="N510" s="7"/>
      <c r="O510" s="7"/>
      <c r="P510" s="264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3"/>
      <c r="G511" s="7"/>
      <c r="H511" s="7"/>
      <c r="I511" s="7"/>
      <c r="J511" s="7"/>
      <c r="K511" s="7"/>
      <c r="L511" s="7"/>
      <c r="M511" s="7"/>
      <c r="N511" s="7"/>
      <c r="O511" s="7"/>
      <c r="P511" s="264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3"/>
      <c r="G512" s="7"/>
      <c r="H512" s="7"/>
      <c r="I512" s="7"/>
      <c r="J512" s="7"/>
      <c r="K512" s="7"/>
      <c r="L512" s="7"/>
      <c r="M512" s="7"/>
      <c r="N512" s="7"/>
      <c r="O512" s="7"/>
      <c r="P512" s="264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3"/>
      <c r="G513" s="7"/>
      <c r="H513" s="7"/>
      <c r="I513" s="7"/>
      <c r="J513" s="7"/>
      <c r="K513" s="7"/>
      <c r="L513" s="7"/>
      <c r="M513" s="7"/>
      <c r="N513" s="7"/>
      <c r="O513" s="7"/>
      <c r="P513" s="264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3"/>
      <c r="G514" s="7"/>
      <c r="H514" s="7"/>
      <c r="I514" s="7"/>
      <c r="J514" s="7"/>
      <c r="K514" s="7"/>
      <c r="L514" s="7"/>
      <c r="M514" s="7"/>
      <c r="N514" s="7"/>
      <c r="O514" s="7"/>
      <c r="P514" s="264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3"/>
      <c r="G515" s="7"/>
      <c r="H515" s="7"/>
      <c r="I515" s="7"/>
      <c r="J515" s="7"/>
      <c r="K515" s="7"/>
      <c r="L515" s="7"/>
      <c r="M515" s="7"/>
      <c r="N515" s="7"/>
      <c r="O515" s="7"/>
      <c r="P515" s="264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3"/>
      <c r="G516" s="7"/>
      <c r="H516" s="7"/>
      <c r="I516" s="7"/>
      <c r="J516" s="7"/>
      <c r="K516" s="7"/>
      <c r="L516" s="7"/>
      <c r="M516" s="7"/>
      <c r="N516" s="7"/>
      <c r="O516" s="7"/>
      <c r="P516" s="264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3"/>
      <c r="G517" s="7"/>
      <c r="H517" s="7"/>
      <c r="I517" s="7"/>
      <c r="J517" s="7"/>
      <c r="K517" s="7"/>
      <c r="L517" s="7"/>
      <c r="M517" s="7"/>
      <c r="N517" s="7"/>
      <c r="O517" s="7"/>
      <c r="P517" s="264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3"/>
      <c r="G518" s="7"/>
      <c r="H518" s="7"/>
      <c r="I518" s="7"/>
      <c r="J518" s="7"/>
      <c r="K518" s="7"/>
      <c r="L518" s="7"/>
      <c r="M518" s="7"/>
      <c r="N518" s="7"/>
      <c r="O518" s="7"/>
      <c r="P518" s="264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3"/>
      <c r="G519" s="7"/>
      <c r="H519" s="7"/>
      <c r="I519" s="7"/>
      <c r="J519" s="7"/>
      <c r="K519" s="7"/>
      <c r="L519" s="7"/>
      <c r="M519" s="7"/>
      <c r="N519" s="7"/>
      <c r="O519" s="7"/>
      <c r="P519" s="264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3"/>
      <c r="G520" s="7"/>
      <c r="H520" s="7"/>
      <c r="I520" s="7"/>
      <c r="J520" s="7"/>
      <c r="K520" s="7"/>
      <c r="L520" s="7"/>
      <c r="M520" s="7"/>
      <c r="N520" s="7"/>
      <c r="O520" s="7"/>
      <c r="P520" s="264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3"/>
      <c r="G521" s="7"/>
      <c r="H521" s="7"/>
      <c r="I521" s="7"/>
      <c r="J521" s="7"/>
      <c r="K521" s="7"/>
      <c r="L521" s="7"/>
      <c r="M521" s="7"/>
      <c r="N521" s="7"/>
      <c r="O521" s="7"/>
      <c r="P521" s="264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3"/>
      <c r="G522" s="7"/>
      <c r="H522" s="7"/>
      <c r="I522" s="7"/>
      <c r="J522" s="7"/>
      <c r="K522" s="7"/>
      <c r="L522" s="7"/>
      <c r="M522" s="7"/>
      <c r="N522" s="7"/>
      <c r="O522" s="7"/>
      <c r="P522" s="264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3"/>
      <c r="G523" s="7"/>
      <c r="H523" s="7"/>
      <c r="I523" s="7"/>
      <c r="J523" s="7"/>
      <c r="K523" s="7"/>
      <c r="L523" s="7"/>
      <c r="M523" s="7"/>
      <c r="N523" s="7"/>
      <c r="O523" s="7"/>
      <c r="P523" s="264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3"/>
      <c r="G524" s="7"/>
      <c r="H524" s="7"/>
      <c r="I524" s="7"/>
      <c r="J524" s="7"/>
      <c r="K524" s="7"/>
      <c r="L524" s="7"/>
      <c r="M524" s="7"/>
      <c r="N524" s="7"/>
      <c r="O524" s="7"/>
      <c r="P524" s="264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3"/>
      <c r="G525" s="7"/>
      <c r="H525" s="7"/>
      <c r="I525" s="7"/>
      <c r="J525" s="7"/>
      <c r="K525" s="7"/>
      <c r="L525" s="7"/>
      <c r="M525" s="7"/>
      <c r="N525" s="7"/>
      <c r="O525" s="7"/>
      <c r="P525" s="264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6" t="s">
        <v>53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</row>
    <row r="2" ht="23.25" customHeight="1">
      <c r="A2" s="327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</row>
    <row r="3" ht="23.25" customHeight="1">
      <c r="A3" s="326" t="s">
        <v>121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ht="23.25" customHeight="1">
      <c r="A4" s="327"/>
      <c r="B4" s="327"/>
      <c r="C4" s="327"/>
      <c r="D4" s="327"/>
      <c r="E4" s="327"/>
      <c r="F4" s="327"/>
      <c r="G4" s="327"/>
      <c r="H4" s="328"/>
      <c r="I4" s="328"/>
      <c r="J4" s="328"/>
      <c r="K4" s="328"/>
      <c r="L4" s="328"/>
      <c r="M4" s="328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ht="23.25" customHeight="1">
      <c r="A5" s="326" t="s">
        <v>122</v>
      </c>
      <c r="B5" s="329" t="s">
        <v>143</v>
      </c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</row>
    <row r="6" ht="24.0" customHeight="1">
      <c r="A6" s="327"/>
      <c r="B6" s="327"/>
      <c r="C6" s="327"/>
      <c r="D6" s="327"/>
      <c r="E6" s="327"/>
      <c r="F6" s="327"/>
      <c r="G6" s="327"/>
      <c r="H6" s="327"/>
      <c r="I6" s="330">
        <v>0.009</v>
      </c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  <c r="AA6" s="327"/>
      <c r="AB6" s="327"/>
      <c r="AC6" s="327"/>
      <c r="AD6" s="327"/>
    </row>
    <row r="7" ht="68.25" customHeight="1">
      <c r="A7" s="331" t="s">
        <v>124</v>
      </c>
      <c r="B7" s="332" t="s">
        <v>125</v>
      </c>
      <c r="C7" s="333" t="s">
        <v>126</v>
      </c>
      <c r="D7" s="333" t="s">
        <v>127</v>
      </c>
      <c r="E7" s="333" t="s">
        <v>128</v>
      </c>
      <c r="F7" s="333" t="s">
        <v>129</v>
      </c>
      <c r="G7" s="334" t="s">
        <v>130</v>
      </c>
      <c r="H7" s="335" t="s">
        <v>12</v>
      </c>
      <c r="I7" s="335" t="s">
        <v>144</v>
      </c>
      <c r="J7" s="336" t="s">
        <v>145</v>
      </c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</row>
    <row r="8" ht="48.0" customHeight="1">
      <c r="A8" s="337" t="str">
        <f>+SUMMARY!#REF!</f>
        <v>#ERROR!</v>
      </c>
      <c r="B8" s="338" t="str">
        <f>+SUMMARY!#REF!</f>
        <v>#ERROR!</v>
      </c>
      <c r="C8" s="338" t="str">
        <f>+SUMMARY!#REF!</f>
        <v>#ERROR!</v>
      </c>
      <c r="D8" s="338" t="str">
        <f>+SUMMARY!#REF!</f>
        <v>#ERROR!</v>
      </c>
      <c r="E8" s="338" t="str">
        <f>+SUMMARY!#REF!</f>
        <v>#ERROR!</v>
      </c>
      <c r="F8" s="338" t="str">
        <f>+SUMMARY!#REF!</f>
        <v>#ERROR!</v>
      </c>
      <c r="G8" s="338" t="str">
        <f>+SUMMARY!#REF!</f>
        <v>#ERROR!</v>
      </c>
      <c r="H8" s="339" t="str">
        <f>+SUMMARY!#REF!</f>
        <v>#ERROR!</v>
      </c>
      <c r="I8" s="340" t="str">
        <f t="shared" ref="I8:I38" si="1">D8/B8</f>
        <v>#ERROR!</v>
      </c>
      <c r="J8" s="341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</row>
    <row r="9" ht="33.0" customHeight="1">
      <c r="A9" s="337">
        <f>+SUMMARY!A7</f>
        <v>44470</v>
      </c>
      <c r="B9" s="338">
        <f>+SUMMARY!B7</f>
        <v>29571.8766</v>
      </c>
      <c r="C9" s="338">
        <f>+SUMMARY!C7</f>
        <v>26142.41555</v>
      </c>
      <c r="D9" s="338">
        <f>+SUMMARY!D7</f>
        <v>0</v>
      </c>
      <c r="E9" s="338">
        <f>+SUMMARY!E7</f>
        <v>61.2</v>
      </c>
      <c r="F9" s="338">
        <f>+SUMMARY!F7</f>
        <v>2380.536066</v>
      </c>
      <c r="G9" s="338">
        <f>+SUMMARY!G7</f>
        <v>987.7249887</v>
      </c>
      <c r="H9" s="339" t="str">
        <f>+SUMMARY!H7</f>
        <v/>
      </c>
      <c r="I9" s="340">
        <f t="shared" si="1"/>
        <v>0</v>
      </c>
      <c r="J9" s="341"/>
      <c r="K9" s="327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  <c r="AA9" s="327"/>
      <c r="AB9" s="327"/>
      <c r="AC9" s="327"/>
      <c r="AD9" s="327"/>
    </row>
    <row r="10" ht="33.0" customHeight="1">
      <c r="A10" s="337">
        <f>+SUMMARY!A8</f>
        <v>44474</v>
      </c>
      <c r="B10" s="338">
        <f>+SUMMARY!B8</f>
        <v>24436.2732</v>
      </c>
      <c r="C10" s="338">
        <f>+SUMMARY!C8</f>
        <v>21980.6252</v>
      </c>
      <c r="D10" s="338">
        <f>+SUMMARY!D8</f>
        <v>0</v>
      </c>
      <c r="E10" s="338">
        <f>+SUMMARY!E8</f>
        <v>74.4</v>
      </c>
      <c r="F10" s="338">
        <f>+SUMMARY!F8</f>
        <v>1918.036262</v>
      </c>
      <c r="G10" s="338">
        <f>+SUMMARY!G8</f>
        <v>463.211736</v>
      </c>
      <c r="H10" s="342" t="str">
        <f>+SUMMARY!H8</f>
        <v/>
      </c>
      <c r="I10" s="340">
        <f t="shared" si="1"/>
        <v>0</v>
      </c>
      <c r="J10" s="341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  <c r="W10" s="327"/>
      <c r="X10" s="327"/>
      <c r="Y10" s="327"/>
      <c r="Z10" s="327"/>
      <c r="AA10" s="327"/>
      <c r="AB10" s="327"/>
      <c r="AC10" s="327"/>
      <c r="AD10" s="327"/>
    </row>
    <row r="11" ht="33.0" customHeight="1">
      <c r="A11" s="337">
        <f>+SUMMARY!A9</f>
        <v>44477</v>
      </c>
      <c r="B11" s="338">
        <f>+SUMMARY!B9</f>
        <v>27897.0617</v>
      </c>
      <c r="C11" s="338">
        <f>+SUMMARY!C9</f>
        <v>24402.16893</v>
      </c>
      <c r="D11" s="338">
        <f>+SUMMARY!D9</f>
        <v>0</v>
      </c>
      <c r="E11" s="338">
        <f>+SUMMARY!E9</f>
        <v>262.5</v>
      </c>
      <c r="F11" s="338">
        <f>+SUMMARY!F9</f>
        <v>2378.418427</v>
      </c>
      <c r="G11" s="338">
        <f>+SUMMARY!G9</f>
        <v>853.9743396</v>
      </c>
      <c r="H11" s="339" t="str">
        <f>+SUMMARY!H9</f>
        <v/>
      </c>
      <c r="I11" s="340">
        <f t="shared" si="1"/>
        <v>0</v>
      </c>
      <c r="J11" s="341"/>
      <c r="K11" s="327"/>
      <c r="L11" s="327"/>
      <c r="M11" s="327"/>
      <c r="N11" s="327"/>
      <c r="O11" s="327"/>
      <c r="P11" s="327"/>
      <c r="Q11" s="327"/>
      <c r="R11" s="327"/>
      <c r="S11" s="327"/>
      <c r="T11" s="327"/>
      <c r="U11" s="327"/>
      <c r="V11" s="327"/>
      <c r="W11" s="327"/>
      <c r="X11" s="327"/>
      <c r="Y11" s="327"/>
      <c r="Z11" s="327"/>
      <c r="AA11" s="327"/>
      <c r="AB11" s="327"/>
      <c r="AC11" s="327"/>
      <c r="AD11" s="327"/>
    </row>
    <row r="12" ht="33.0" customHeight="1">
      <c r="A12" s="337">
        <f>+SUMMARY!A10</f>
        <v>44480</v>
      </c>
      <c r="B12" s="338">
        <f>+SUMMARY!B10</f>
        <v>13063.4451</v>
      </c>
      <c r="C12" s="338">
        <f>+SUMMARY!C10</f>
        <v>12083.80943</v>
      </c>
      <c r="D12" s="338">
        <f>+SUMMARY!D10</f>
        <v>0</v>
      </c>
      <c r="E12" s="338">
        <f>+SUMMARY!E10</f>
        <v>68.4</v>
      </c>
      <c r="F12" s="338">
        <f>+SUMMARY!F10</f>
        <v>946.1549161</v>
      </c>
      <c r="G12" s="338">
        <f>+SUMMARY!G10</f>
        <v>-34.91925009</v>
      </c>
      <c r="H12" s="339" t="str">
        <f>+SUMMARY!H10</f>
        <v/>
      </c>
      <c r="I12" s="340">
        <f t="shared" si="1"/>
        <v>0</v>
      </c>
      <c r="J12" s="341"/>
      <c r="K12" s="327"/>
      <c r="L12" s="327"/>
      <c r="M12" s="327"/>
      <c r="N12" s="327"/>
      <c r="O12" s="327"/>
      <c r="P12" s="327"/>
      <c r="Q12" s="327"/>
      <c r="R12" s="327"/>
      <c r="S12" s="327"/>
      <c r="T12" s="327"/>
      <c r="U12" s="327"/>
      <c r="V12" s="327"/>
      <c r="W12" s="327"/>
      <c r="X12" s="327"/>
      <c r="Y12" s="327"/>
      <c r="Z12" s="327"/>
      <c r="AA12" s="327"/>
      <c r="AB12" s="327"/>
      <c r="AC12" s="327"/>
      <c r="AD12" s="327"/>
    </row>
    <row r="13" ht="33.0" customHeight="1">
      <c r="A13" s="337">
        <f>+SUMMARY!A11</f>
        <v>44482</v>
      </c>
      <c r="B13" s="338">
        <f>+SUMMARY!B11</f>
        <v>17103.7926</v>
      </c>
      <c r="C13" s="338">
        <f>+SUMMARY!C11</f>
        <v>14815.61189</v>
      </c>
      <c r="D13" s="338">
        <f>+SUMMARY!D11</f>
        <v>0</v>
      </c>
      <c r="E13" s="338">
        <f>+SUMMARY!E11</f>
        <v>208.8</v>
      </c>
      <c r="F13" s="338">
        <f>+SUMMARY!F11</f>
        <v>1322.896902</v>
      </c>
      <c r="G13" s="338">
        <f>+SUMMARY!G11</f>
        <v>756.483805</v>
      </c>
      <c r="H13" s="339" t="str">
        <f>+SUMMARY!H11</f>
        <v/>
      </c>
      <c r="I13" s="340">
        <f t="shared" si="1"/>
        <v>0</v>
      </c>
      <c r="J13" s="341"/>
      <c r="K13" s="327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  <c r="AA13" s="327"/>
      <c r="AB13" s="327"/>
      <c r="AC13" s="327"/>
      <c r="AD13" s="327"/>
    </row>
    <row r="14" ht="33.0" customHeight="1">
      <c r="A14" s="337">
        <f>+SUMMARY!A12</f>
        <v>44483</v>
      </c>
      <c r="B14" s="338">
        <f>+SUMMARY!B12</f>
        <v>29139.1067</v>
      </c>
      <c r="C14" s="338">
        <f>+SUMMARY!C12</f>
        <v>27051.12558</v>
      </c>
      <c r="D14" s="338">
        <f>+SUMMARY!D12</f>
        <v>0</v>
      </c>
      <c r="E14" s="338">
        <f>+SUMMARY!E12</f>
        <v>207.6</v>
      </c>
      <c r="F14" s="338">
        <f>+SUMMARY!F12</f>
        <v>1934.668467</v>
      </c>
      <c r="G14" s="338">
        <f>+SUMMARY!G12</f>
        <v>-54.28735136</v>
      </c>
      <c r="H14" s="339" t="str">
        <f>+SUMMARY!H12</f>
        <v/>
      </c>
      <c r="I14" s="340">
        <f t="shared" si="1"/>
        <v>0</v>
      </c>
      <c r="J14" s="341"/>
      <c r="K14" s="327"/>
      <c r="L14" s="327"/>
      <c r="M14" s="327"/>
      <c r="N14" s="327"/>
      <c r="O14" s="327"/>
      <c r="P14" s="327"/>
      <c r="Q14" s="327"/>
      <c r="R14" s="327"/>
      <c r="S14" s="327"/>
      <c r="T14" s="327"/>
      <c r="U14" s="327"/>
      <c r="V14" s="327"/>
      <c r="W14" s="327"/>
      <c r="X14" s="327"/>
      <c r="Y14" s="327"/>
      <c r="Z14" s="327"/>
      <c r="AA14" s="327"/>
      <c r="AB14" s="327"/>
      <c r="AC14" s="327"/>
      <c r="AD14" s="327"/>
    </row>
    <row r="15" ht="33.0" customHeight="1">
      <c r="A15" s="337">
        <f>+SUMMARY!A13</f>
        <v>44484</v>
      </c>
      <c r="B15" s="338">
        <f>+SUMMARY!B13</f>
        <v>25127.5583</v>
      </c>
      <c r="C15" s="338">
        <f>+SUMMARY!C13</f>
        <v>22934.78424</v>
      </c>
      <c r="D15" s="338">
        <f>+SUMMARY!D13</f>
        <v>0</v>
      </c>
      <c r="E15" s="338">
        <f>+SUMMARY!E13</f>
        <v>94.2</v>
      </c>
      <c r="F15" s="338">
        <f>+SUMMARY!F13</f>
        <v>2276.860659</v>
      </c>
      <c r="G15" s="338">
        <f>+SUMMARY!G13</f>
        <v>-178.2865967</v>
      </c>
      <c r="H15" s="339" t="str">
        <f>+SUMMARY!H13</f>
        <v>#REF!</v>
      </c>
      <c r="I15" s="340">
        <f t="shared" si="1"/>
        <v>0</v>
      </c>
      <c r="J15" s="341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  <c r="AA15" s="327"/>
      <c r="AB15" s="327"/>
      <c r="AC15" s="327"/>
      <c r="AD15" s="327"/>
    </row>
    <row r="16" ht="33.0" customHeight="1">
      <c r="A16" s="337">
        <f>+SUMMARY!A14</f>
        <v>44485</v>
      </c>
      <c r="B16" s="338">
        <f>+SUMMARY!B14</f>
        <v>46811.4148</v>
      </c>
      <c r="C16" s="338">
        <f>+SUMMARY!C14</f>
        <v>38437.22167</v>
      </c>
      <c r="D16" s="338">
        <f>+SUMMARY!D14</f>
        <v>0</v>
      </c>
      <c r="E16" s="338">
        <f>+SUMMARY!E14</f>
        <v>244.8</v>
      </c>
      <c r="F16" s="338">
        <f>+SUMMARY!F14</f>
        <v>3218.349179</v>
      </c>
      <c r="G16" s="338">
        <f>+SUMMARY!G14</f>
        <v>4911.043949</v>
      </c>
      <c r="H16" s="339" t="str">
        <f>+SUMMARY!H14</f>
        <v/>
      </c>
      <c r="I16" s="340">
        <f t="shared" si="1"/>
        <v>0</v>
      </c>
      <c r="J16" s="341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  <c r="AA16" s="327"/>
      <c r="AB16" s="327"/>
      <c r="AC16" s="327"/>
      <c r="AD16" s="327"/>
    </row>
    <row r="17" ht="33.0" customHeight="1">
      <c r="A17" s="337">
        <f>+SUMMARY!A15</f>
        <v>44487</v>
      </c>
      <c r="B17" s="338">
        <f>+SUMMARY!B15</f>
        <v>38792.0016</v>
      </c>
      <c r="C17" s="338">
        <f>+SUMMARY!C15</f>
        <v>34357.13834</v>
      </c>
      <c r="D17" s="338">
        <f>+SUMMARY!D15</f>
        <v>0</v>
      </c>
      <c r="E17" s="338">
        <f>+SUMMARY!E15</f>
        <v>206.4</v>
      </c>
      <c r="F17" s="338">
        <f>+SUMMARY!F15</f>
        <v>3209.832538</v>
      </c>
      <c r="G17" s="338">
        <f>+SUMMARY!G15</f>
        <v>1018.630718</v>
      </c>
      <c r="H17" s="339" t="str">
        <f>+SUMMARY!H15</f>
        <v/>
      </c>
      <c r="I17" s="340">
        <f t="shared" si="1"/>
        <v>0</v>
      </c>
      <c r="J17" s="341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</row>
    <row r="18" ht="33.0" customHeight="1">
      <c r="A18" s="337">
        <f>+SUMMARY!A16</f>
        <v>44488</v>
      </c>
      <c r="B18" s="338">
        <f>+SUMMARY!B16</f>
        <v>31555.9676</v>
      </c>
      <c r="C18" s="338">
        <f>+SUMMARY!C16</f>
        <v>818.289475</v>
      </c>
      <c r="D18" s="338">
        <f>+SUMMARY!D16</f>
        <v>0</v>
      </c>
      <c r="E18" s="338">
        <f>+SUMMARY!E16</f>
        <v>180.6</v>
      </c>
      <c r="F18" s="338">
        <f>+SUMMARY!F16</f>
        <v>2563.616784</v>
      </c>
      <c r="G18" s="338">
        <f>+SUMMARY!G16</f>
        <v>27993.46134</v>
      </c>
      <c r="H18" s="339" t="str">
        <f>+SUMMARY!H16</f>
        <v/>
      </c>
      <c r="I18" s="340">
        <f t="shared" si="1"/>
        <v>0</v>
      </c>
      <c r="J18" s="341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</row>
    <row r="19" ht="33.0" customHeight="1">
      <c r="A19" s="337">
        <f>+SUMMARY!A17</f>
        <v>44490</v>
      </c>
      <c r="B19" s="338">
        <f>+SUMMARY!B17</f>
        <v>46455.7484</v>
      </c>
      <c r="C19" s="338">
        <f>+SUMMARY!C17</f>
        <v>40703.4947</v>
      </c>
      <c r="D19" s="338">
        <f>+SUMMARY!D17</f>
        <v>0</v>
      </c>
      <c r="E19" s="338">
        <f>+SUMMARY!E17</f>
        <v>258.6</v>
      </c>
      <c r="F19" s="338">
        <f>+SUMMARY!F17</f>
        <v>3517.871898</v>
      </c>
      <c r="G19" s="338">
        <f>+SUMMARY!G17</f>
        <v>1975.781802</v>
      </c>
      <c r="H19" s="339" t="str">
        <f>+SUMMARY!H17</f>
        <v/>
      </c>
      <c r="I19" s="340">
        <f t="shared" si="1"/>
        <v>0</v>
      </c>
      <c r="J19" s="341"/>
      <c r="K19" s="343"/>
      <c r="L19" s="343"/>
      <c r="M19" s="343"/>
      <c r="N19" s="343"/>
      <c r="O19" s="343"/>
      <c r="P19" s="343"/>
      <c r="Q19" s="343"/>
      <c r="R19" s="343"/>
      <c r="S19" s="343"/>
      <c r="T19" s="343"/>
      <c r="U19" s="343"/>
      <c r="V19" s="343"/>
      <c r="W19" s="343"/>
      <c r="X19" s="343"/>
      <c r="Y19" s="343"/>
      <c r="Z19" s="343"/>
      <c r="AA19" s="343"/>
      <c r="AB19" s="343"/>
      <c r="AC19" s="343"/>
      <c r="AD19" s="343"/>
    </row>
    <row r="20" ht="33.0" customHeight="1">
      <c r="A20" s="337">
        <f>+SUMMARY!A18</f>
        <v>44491</v>
      </c>
      <c r="B20" s="338">
        <f>+SUMMARY!B18</f>
        <v>22070.643</v>
      </c>
      <c r="C20" s="338">
        <f>+SUMMARY!C18</f>
        <v>19308.82985</v>
      </c>
      <c r="D20" s="338">
        <f>+SUMMARY!D18</f>
        <v>0</v>
      </c>
      <c r="E20" s="338">
        <f>+SUMMARY!E18</f>
        <v>168.6</v>
      </c>
      <c r="F20" s="338">
        <f>+SUMMARY!F18</f>
        <v>1873.574522</v>
      </c>
      <c r="G20" s="338">
        <f>+SUMMARY!G18</f>
        <v>719.6386305</v>
      </c>
      <c r="H20" s="339" t="str">
        <f>+SUMMARY!H18</f>
        <v/>
      </c>
      <c r="I20" s="340">
        <f t="shared" si="1"/>
        <v>0</v>
      </c>
      <c r="J20" s="341"/>
      <c r="K20" s="343"/>
      <c r="L20" s="343"/>
      <c r="M20" s="343"/>
      <c r="N20" s="343"/>
      <c r="O20" s="343"/>
      <c r="P20" s="343"/>
      <c r="Q20" s="343"/>
      <c r="R20" s="343"/>
      <c r="S20" s="343"/>
      <c r="T20" s="343"/>
      <c r="U20" s="343"/>
      <c r="V20" s="343"/>
      <c r="W20" s="343"/>
      <c r="X20" s="343"/>
      <c r="Y20" s="343"/>
      <c r="Z20" s="343"/>
      <c r="AA20" s="343"/>
      <c r="AB20" s="343"/>
      <c r="AC20" s="343"/>
      <c r="AD20" s="343"/>
    </row>
    <row r="21" ht="33.0" customHeight="1">
      <c r="A21" s="337">
        <f>+SUMMARY!A19</f>
        <v>44492</v>
      </c>
      <c r="B21" s="338">
        <f>+SUMMARY!B19</f>
        <v>4056.858</v>
      </c>
      <c r="C21" s="338">
        <f>+SUMMARY!C19</f>
        <v>3541.854918</v>
      </c>
      <c r="D21" s="338">
        <f>+SUMMARY!D19</f>
        <v>0</v>
      </c>
      <c r="E21" s="338">
        <f>+SUMMARY!E19</f>
        <v>68.4</v>
      </c>
      <c r="F21" s="338">
        <f>+SUMMARY!F19</f>
        <v>234.1526054</v>
      </c>
      <c r="G21" s="338">
        <f>+SUMMARY!G19</f>
        <v>212.4504771</v>
      </c>
      <c r="H21" s="339" t="str">
        <f>+SUMMARY!H19</f>
        <v/>
      </c>
      <c r="I21" s="340">
        <f t="shared" si="1"/>
        <v>0</v>
      </c>
      <c r="J21" s="341"/>
      <c r="K21" s="343"/>
      <c r="L21" s="343"/>
      <c r="M21" s="343"/>
      <c r="N21" s="343"/>
      <c r="O21" s="343"/>
      <c r="P21" s="343"/>
      <c r="Q21" s="343"/>
      <c r="R21" s="343"/>
      <c r="S21" s="343"/>
      <c r="T21" s="343"/>
      <c r="U21" s="343"/>
      <c r="V21" s="343"/>
      <c r="W21" s="343"/>
      <c r="X21" s="343"/>
      <c r="Y21" s="343"/>
      <c r="Z21" s="343"/>
      <c r="AA21" s="343"/>
      <c r="AB21" s="343"/>
      <c r="AC21" s="343"/>
      <c r="AD21" s="343"/>
    </row>
    <row r="22" ht="33.0" customHeight="1">
      <c r="A22" s="337">
        <f>+SUMMARY!A20</f>
        <v>44494</v>
      </c>
      <c r="B22" s="338">
        <f>+SUMMARY!B20</f>
        <v>34921.967</v>
      </c>
      <c r="C22" s="338">
        <f>+SUMMARY!C20</f>
        <v>30852.42275</v>
      </c>
      <c r="D22" s="338">
        <f>+SUMMARY!D20</f>
        <v>0</v>
      </c>
      <c r="E22" s="338">
        <f>+SUMMARY!E20</f>
        <v>185.4</v>
      </c>
      <c r="F22" s="338">
        <f>+SUMMARY!F20</f>
        <v>2306.091097</v>
      </c>
      <c r="G22" s="338">
        <f>+SUMMARY!G20</f>
        <v>1578.053158</v>
      </c>
      <c r="H22" s="339" t="str">
        <f>+SUMMARY!H20</f>
        <v/>
      </c>
      <c r="I22" s="340">
        <f t="shared" si="1"/>
        <v>0</v>
      </c>
      <c r="J22" s="341"/>
      <c r="K22" s="343"/>
      <c r="L22" s="343"/>
      <c r="M22" s="343"/>
      <c r="N22" s="343"/>
      <c r="O22" s="343"/>
      <c r="P22" s="343"/>
      <c r="Q22" s="343"/>
      <c r="R22" s="343"/>
      <c r="S22" s="343"/>
      <c r="T22" s="343"/>
      <c r="U22" s="343"/>
      <c r="V22" s="343"/>
      <c r="W22" s="343"/>
      <c r="X22" s="343"/>
      <c r="Y22" s="343"/>
      <c r="Z22" s="343"/>
      <c r="AA22" s="343"/>
      <c r="AB22" s="343"/>
      <c r="AC22" s="343"/>
      <c r="AD22" s="343"/>
    </row>
    <row r="23" ht="33.0" customHeight="1">
      <c r="A23" s="337">
        <f>+SUMMARY!A21</f>
        <v>44495</v>
      </c>
      <c r="B23" s="338">
        <f>+SUMMARY!B21</f>
        <v>17735.62872</v>
      </c>
      <c r="C23" s="338">
        <f>+SUMMARY!C21</f>
        <v>15473.20758</v>
      </c>
      <c r="D23" s="338">
        <f>+SUMMARY!D21</f>
        <v>0</v>
      </c>
      <c r="E23" s="338">
        <f>+SUMMARY!E21</f>
        <v>174.6</v>
      </c>
      <c r="F23" s="338">
        <f>+SUMMARY!F21</f>
        <v>1307.115837</v>
      </c>
      <c r="G23" s="338">
        <f>+SUMMARY!G21</f>
        <v>780.7053053</v>
      </c>
      <c r="H23" s="339" t="str">
        <f>+SUMMARY!H21</f>
        <v/>
      </c>
      <c r="I23" s="340">
        <f t="shared" si="1"/>
        <v>0</v>
      </c>
      <c r="J23" s="341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</row>
    <row r="24" ht="33.0" customHeight="1">
      <c r="A24" s="337">
        <f>+SUMMARY!A22</f>
        <v>44497</v>
      </c>
      <c r="B24" s="338">
        <f>+SUMMARY!B22</f>
        <v>32177.423</v>
      </c>
      <c r="C24" s="338">
        <f>+SUMMARY!C22</f>
        <v>28739.91616</v>
      </c>
      <c r="D24" s="338">
        <f>+SUMMARY!D22</f>
        <v>0</v>
      </c>
      <c r="E24" s="338">
        <f>+SUMMARY!E22</f>
        <v>107.4</v>
      </c>
      <c r="F24" s="338">
        <f>+SUMMARY!F22</f>
        <v>2287.966905</v>
      </c>
      <c r="G24" s="338">
        <f>+SUMMARY!G22</f>
        <v>1042.139937</v>
      </c>
      <c r="H24" s="339" t="str">
        <f>+SUMMARY!H22</f>
        <v/>
      </c>
      <c r="I24" s="340">
        <f t="shared" si="1"/>
        <v>0</v>
      </c>
      <c r="J24" s="341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</row>
    <row r="25" ht="33.0" customHeight="1">
      <c r="A25" s="337">
        <f>+SUMMARY!A23</f>
        <v>44498</v>
      </c>
      <c r="B25" s="338">
        <f>+SUMMARY!B23</f>
        <v>29056.934</v>
      </c>
      <c r="C25" s="338">
        <f>+SUMMARY!C23</f>
        <v>26882.84601</v>
      </c>
      <c r="D25" s="338">
        <f>+SUMMARY!D23</f>
        <v>0</v>
      </c>
      <c r="E25" s="338">
        <f>+SUMMARY!E23</f>
        <v>112.2</v>
      </c>
      <c r="F25" s="338">
        <f>+SUMMARY!F23</f>
        <v>1617.663151</v>
      </c>
      <c r="G25" s="338">
        <f>+SUMMARY!G23</f>
        <v>444.2248409</v>
      </c>
      <c r="H25" s="339" t="str">
        <f>+SUMMARY!H23</f>
        <v/>
      </c>
      <c r="I25" s="340">
        <f t="shared" si="1"/>
        <v>0</v>
      </c>
      <c r="J25" s="341"/>
      <c r="K25" s="343"/>
      <c r="L25" s="343"/>
      <c r="M25" s="343"/>
      <c r="N25" s="343"/>
      <c r="O25" s="343"/>
      <c r="P25" s="343"/>
      <c r="Q25" s="343"/>
      <c r="R25" s="343"/>
      <c r="S25" s="343"/>
      <c r="T25" s="343"/>
      <c r="U25" s="343"/>
      <c r="V25" s="343"/>
      <c r="W25" s="343"/>
      <c r="X25" s="343"/>
      <c r="Y25" s="343"/>
      <c r="Z25" s="343"/>
      <c r="AA25" s="343"/>
      <c r="AB25" s="343"/>
      <c r="AC25" s="343"/>
      <c r="AD25" s="343"/>
    </row>
    <row r="26" ht="33.0" customHeight="1">
      <c r="A26" s="337" t="str">
        <f>+SUMMARY!A24</f>
        <v/>
      </c>
      <c r="B26" s="338" t="str">
        <f>+SUMMARY!B24</f>
        <v/>
      </c>
      <c r="C26" s="338" t="str">
        <f>+SUMMARY!C24</f>
        <v/>
      </c>
      <c r="D26" s="338" t="str">
        <f>+SUMMARY!D24</f>
        <v/>
      </c>
      <c r="E26" s="338" t="str">
        <f>+SUMMARY!E24</f>
        <v/>
      </c>
      <c r="F26" s="338" t="str">
        <f>+SUMMARY!F24</f>
        <v/>
      </c>
      <c r="G26" s="338" t="str">
        <f>+SUMMARY!G24</f>
        <v/>
      </c>
      <c r="H26" s="339" t="str">
        <f>+SUMMARY!H24</f>
        <v/>
      </c>
      <c r="I26" s="340" t="str">
        <f t="shared" si="1"/>
        <v>#DIV/0!</v>
      </c>
      <c r="J26" s="341"/>
      <c r="K26" s="343"/>
      <c r="L26" s="343"/>
      <c r="M26" s="343"/>
      <c r="N26" s="343"/>
      <c r="O26" s="343"/>
      <c r="P26" s="343"/>
      <c r="Q26" s="343"/>
      <c r="R26" s="343"/>
      <c r="S26" s="343"/>
      <c r="T26" s="343"/>
      <c r="U26" s="343"/>
      <c r="V26" s="343"/>
      <c r="W26" s="343"/>
      <c r="X26" s="343"/>
      <c r="Y26" s="343"/>
      <c r="Z26" s="343"/>
      <c r="AA26" s="343"/>
      <c r="AB26" s="343"/>
      <c r="AC26" s="343"/>
      <c r="AD26" s="343"/>
    </row>
    <row r="27" ht="33.0" customHeight="1">
      <c r="A27" s="337" t="str">
        <f>+SUMMARY!A25</f>
        <v/>
      </c>
      <c r="B27" s="338" t="str">
        <f>+SUMMARY!B25</f>
        <v/>
      </c>
      <c r="C27" s="338" t="str">
        <f>+SUMMARY!C25</f>
        <v/>
      </c>
      <c r="D27" s="338" t="str">
        <f>+SUMMARY!D25</f>
        <v/>
      </c>
      <c r="E27" s="338" t="str">
        <f>+SUMMARY!E25</f>
        <v/>
      </c>
      <c r="F27" s="338" t="str">
        <f>+SUMMARY!F25</f>
        <v/>
      </c>
      <c r="G27" s="338" t="str">
        <f>+SUMMARY!G25</f>
        <v/>
      </c>
      <c r="H27" s="339" t="str">
        <f>+SUMMARY!H25</f>
        <v/>
      </c>
      <c r="I27" s="340" t="str">
        <f t="shared" si="1"/>
        <v>#DIV/0!</v>
      </c>
      <c r="J27" s="341"/>
      <c r="K27" s="343"/>
      <c r="L27" s="343"/>
      <c r="M27" s="343"/>
      <c r="N27" s="343"/>
      <c r="O27" s="343"/>
      <c r="P27" s="343"/>
      <c r="Q27" s="343"/>
      <c r="R27" s="343"/>
      <c r="S27" s="343"/>
      <c r="T27" s="343"/>
      <c r="U27" s="343"/>
      <c r="V27" s="343"/>
      <c r="W27" s="343"/>
      <c r="X27" s="343"/>
      <c r="Y27" s="343"/>
      <c r="Z27" s="343"/>
      <c r="AA27" s="343"/>
      <c r="AB27" s="343"/>
      <c r="AC27" s="343"/>
      <c r="AD27" s="343"/>
    </row>
    <row r="28" ht="33.0" customHeight="1">
      <c r="A28" s="337" t="str">
        <f>+SUMMARY!A26</f>
        <v/>
      </c>
      <c r="B28" s="338" t="str">
        <f>+SUMMARY!B26</f>
        <v/>
      </c>
      <c r="C28" s="338" t="str">
        <f>+SUMMARY!C26</f>
        <v/>
      </c>
      <c r="D28" s="338" t="str">
        <f>+SUMMARY!D26</f>
        <v/>
      </c>
      <c r="E28" s="338" t="str">
        <f>+SUMMARY!E26</f>
        <v/>
      </c>
      <c r="F28" s="338" t="str">
        <f>+SUMMARY!F26</f>
        <v/>
      </c>
      <c r="G28" s="338" t="str">
        <f>+SUMMARY!G26</f>
        <v/>
      </c>
      <c r="H28" s="339" t="str">
        <f>+SUMMARY!H26</f>
        <v/>
      </c>
      <c r="I28" s="340" t="str">
        <f t="shared" si="1"/>
        <v>#DIV/0!</v>
      </c>
      <c r="J28" s="341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  <c r="AC28" s="343"/>
      <c r="AD28" s="343"/>
    </row>
    <row r="29" ht="33.0" customHeight="1">
      <c r="A29" s="337" t="str">
        <f>+SUMMARY!A27</f>
        <v/>
      </c>
      <c r="B29" s="338" t="str">
        <f>+SUMMARY!B27</f>
        <v/>
      </c>
      <c r="C29" s="338" t="str">
        <f>+SUMMARY!C27</f>
        <v/>
      </c>
      <c r="D29" s="338" t="str">
        <f>+SUMMARY!D27</f>
        <v/>
      </c>
      <c r="E29" s="338" t="str">
        <f>+SUMMARY!E27</f>
        <v/>
      </c>
      <c r="F29" s="338" t="str">
        <f>+SUMMARY!F27</f>
        <v/>
      </c>
      <c r="G29" s="338" t="str">
        <f>+SUMMARY!G27</f>
        <v/>
      </c>
      <c r="H29" s="339" t="str">
        <f>+SUMMARY!H27</f>
        <v/>
      </c>
      <c r="I29" s="340" t="str">
        <f t="shared" si="1"/>
        <v>#DIV/0!</v>
      </c>
      <c r="J29" s="341"/>
      <c r="K29" s="343"/>
      <c r="L29" s="343"/>
      <c r="M29" s="343"/>
      <c r="N29" s="343"/>
      <c r="O29" s="343"/>
      <c r="P29" s="343"/>
      <c r="Q29" s="343"/>
      <c r="R29" s="343"/>
      <c r="S29" s="343"/>
      <c r="T29" s="343"/>
      <c r="U29" s="343"/>
      <c r="V29" s="343"/>
      <c r="W29" s="343"/>
      <c r="X29" s="343"/>
      <c r="Y29" s="343"/>
      <c r="Z29" s="343"/>
      <c r="AA29" s="343"/>
      <c r="AB29" s="343"/>
      <c r="AC29" s="343"/>
      <c r="AD29" s="343"/>
    </row>
    <row r="30" ht="33.0" customHeight="1">
      <c r="A30" s="337" t="str">
        <f>+SUMMARY!A28</f>
        <v/>
      </c>
      <c r="B30" s="338" t="str">
        <f>+SUMMARY!B28</f>
        <v/>
      </c>
      <c r="C30" s="338" t="str">
        <f>+SUMMARY!C28</f>
        <v/>
      </c>
      <c r="D30" s="338" t="str">
        <f>+SUMMARY!D28</f>
        <v/>
      </c>
      <c r="E30" s="338" t="str">
        <f>+SUMMARY!E28</f>
        <v/>
      </c>
      <c r="F30" s="338" t="str">
        <f>+SUMMARY!F28</f>
        <v/>
      </c>
      <c r="G30" s="338" t="str">
        <f>+SUMMARY!G28</f>
        <v/>
      </c>
      <c r="H30" s="339" t="str">
        <f>+SUMMARY!H28</f>
        <v/>
      </c>
      <c r="I30" s="340" t="str">
        <f t="shared" si="1"/>
        <v>#DIV/0!</v>
      </c>
      <c r="J30" s="341"/>
      <c r="K30" s="343"/>
      <c r="L30" s="343"/>
      <c r="M30" s="343"/>
      <c r="N30" s="343"/>
      <c r="O30" s="343"/>
      <c r="P30" s="343"/>
      <c r="Q30" s="343"/>
      <c r="R30" s="343"/>
      <c r="S30" s="343"/>
      <c r="T30" s="343"/>
      <c r="U30" s="343"/>
      <c r="V30" s="343"/>
      <c r="W30" s="343"/>
      <c r="X30" s="343"/>
      <c r="Y30" s="343"/>
      <c r="Z30" s="343"/>
      <c r="AA30" s="343"/>
      <c r="AB30" s="343"/>
      <c r="AC30" s="343"/>
      <c r="AD30" s="343"/>
    </row>
    <row r="31" ht="33.0" customHeight="1">
      <c r="A31" s="337" t="str">
        <f>+SUMMARY!A29</f>
        <v/>
      </c>
      <c r="B31" s="338" t="str">
        <f>+SUMMARY!B29</f>
        <v/>
      </c>
      <c r="C31" s="338" t="str">
        <f>+SUMMARY!C29</f>
        <v/>
      </c>
      <c r="D31" s="338" t="str">
        <f>+SUMMARY!D29</f>
        <v/>
      </c>
      <c r="E31" s="338" t="str">
        <f>+SUMMARY!E29</f>
        <v/>
      </c>
      <c r="F31" s="338" t="str">
        <f>+SUMMARY!F29</f>
        <v/>
      </c>
      <c r="G31" s="338" t="str">
        <f>+SUMMARY!G29</f>
        <v/>
      </c>
      <c r="H31" s="339" t="str">
        <f>+SUMMARY!H29</f>
        <v/>
      </c>
      <c r="I31" s="340" t="str">
        <f t="shared" si="1"/>
        <v>#DIV/0!</v>
      </c>
      <c r="J31" s="341"/>
      <c r="K31" s="343"/>
      <c r="L31" s="343"/>
      <c r="M31" s="343"/>
      <c r="N31" s="343"/>
      <c r="O31" s="343"/>
      <c r="P31" s="343"/>
      <c r="Q31" s="343"/>
      <c r="R31" s="343"/>
      <c r="S31" s="343"/>
      <c r="T31" s="343"/>
      <c r="U31" s="343"/>
      <c r="V31" s="343"/>
      <c r="W31" s="343"/>
      <c r="X31" s="343"/>
      <c r="Y31" s="343"/>
      <c r="Z31" s="343"/>
      <c r="AA31" s="343"/>
      <c r="AB31" s="343"/>
      <c r="AC31" s="343"/>
      <c r="AD31" s="343"/>
    </row>
    <row r="32" ht="33.0" customHeight="1">
      <c r="A32" s="337" t="str">
        <f>+SUMMARY!A30</f>
        <v/>
      </c>
      <c r="B32" s="338" t="str">
        <f>+SUMMARY!B30</f>
        <v/>
      </c>
      <c r="C32" s="338" t="str">
        <f>+SUMMARY!C30</f>
        <v/>
      </c>
      <c r="D32" s="338" t="str">
        <f>+SUMMARY!D30</f>
        <v/>
      </c>
      <c r="E32" s="338" t="str">
        <f>+SUMMARY!E30</f>
        <v/>
      </c>
      <c r="F32" s="338" t="str">
        <f>+SUMMARY!F30</f>
        <v/>
      </c>
      <c r="G32" s="338" t="str">
        <f>+SUMMARY!G30</f>
        <v/>
      </c>
      <c r="H32" s="339" t="str">
        <f>+SUMMARY!H30</f>
        <v/>
      </c>
      <c r="I32" s="340" t="str">
        <f t="shared" si="1"/>
        <v>#DIV/0!</v>
      </c>
      <c r="J32" s="341"/>
      <c r="K32" s="343"/>
      <c r="L32" s="343"/>
      <c r="M32" s="343"/>
      <c r="N32" s="343"/>
      <c r="O32" s="343"/>
      <c r="P32" s="343"/>
      <c r="Q32" s="343"/>
      <c r="R32" s="343"/>
      <c r="S32" s="343"/>
      <c r="T32" s="343"/>
      <c r="U32" s="343"/>
      <c r="V32" s="343"/>
      <c r="W32" s="343"/>
      <c r="X32" s="343"/>
      <c r="Y32" s="343"/>
      <c r="Z32" s="343"/>
      <c r="AA32" s="343"/>
      <c r="AB32" s="343"/>
      <c r="AC32" s="343"/>
      <c r="AD32" s="343"/>
    </row>
    <row r="33" ht="33.0" customHeight="1">
      <c r="A33" s="337" t="str">
        <f>+SUMMARY!A31</f>
        <v/>
      </c>
      <c r="B33" s="338" t="str">
        <f>+SUMMARY!B31</f>
        <v/>
      </c>
      <c r="C33" s="338" t="str">
        <f>+SUMMARY!C31</f>
        <v/>
      </c>
      <c r="D33" s="338" t="str">
        <f>+SUMMARY!D31</f>
        <v/>
      </c>
      <c r="E33" s="338" t="str">
        <f>+SUMMARY!E31</f>
        <v/>
      </c>
      <c r="F33" s="338" t="str">
        <f>+SUMMARY!F31</f>
        <v/>
      </c>
      <c r="G33" s="338" t="str">
        <f>+SUMMARY!G31</f>
        <v/>
      </c>
      <c r="H33" s="339" t="str">
        <f>+SUMMARY!H31</f>
        <v/>
      </c>
      <c r="I33" s="340" t="str">
        <f t="shared" si="1"/>
        <v>#DIV/0!</v>
      </c>
      <c r="J33" s="341"/>
      <c r="K33" s="343"/>
      <c r="L33" s="343"/>
      <c r="M33" s="343"/>
      <c r="N33" s="343"/>
      <c r="O33" s="343"/>
      <c r="P33" s="343"/>
      <c r="Q33" s="343"/>
      <c r="R33" s="343"/>
      <c r="S33" s="343"/>
      <c r="T33" s="343"/>
      <c r="U33" s="343"/>
      <c r="V33" s="343"/>
      <c r="W33" s="343"/>
      <c r="X33" s="343"/>
      <c r="Y33" s="343"/>
      <c r="Z33" s="343"/>
      <c r="AA33" s="343"/>
      <c r="AB33" s="343"/>
      <c r="AC33" s="343"/>
      <c r="AD33" s="343"/>
    </row>
    <row r="34" ht="33.0" customHeight="1">
      <c r="A34" s="337" t="str">
        <f>+SUMMARY!A32</f>
        <v/>
      </c>
      <c r="B34" s="338" t="str">
        <f>+SUMMARY!B32</f>
        <v/>
      </c>
      <c r="C34" s="338" t="str">
        <f>+SUMMARY!C32</f>
        <v/>
      </c>
      <c r="D34" s="338" t="str">
        <f>+SUMMARY!D32</f>
        <v/>
      </c>
      <c r="E34" s="338" t="str">
        <f>+SUMMARY!E32</f>
        <v/>
      </c>
      <c r="F34" s="338" t="str">
        <f>+SUMMARY!F32</f>
        <v/>
      </c>
      <c r="G34" s="338" t="str">
        <f>+SUMMARY!G32</f>
        <v/>
      </c>
      <c r="H34" s="339" t="str">
        <f>+SUMMARY!H32</f>
        <v/>
      </c>
      <c r="I34" s="340" t="str">
        <f t="shared" si="1"/>
        <v>#DIV/0!</v>
      </c>
      <c r="J34" s="341"/>
      <c r="K34" s="343"/>
      <c r="L34" s="343"/>
      <c r="M34" s="343"/>
      <c r="N34" s="343"/>
      <c r="O34" s="343"/>
      <c r="P34" s="343"/>
      <c r="Q34" s="343"/>
      <c r="R34" s="343"/>
      <c r="S34" s="343"/>
      <c r="T34" s="343"/>
      <c r="U34" s="343"/>
      <c r="V34" s="343"/>
      <c r="W34" s="343"/>
      <c r="X34" s="343"/>
      <c r="Y34" s="343"/>
      <c r="Z34" s="343"/>
      <c r="AA34" s="343"/>
      <c r="AB34" s="343"/>
      <c r="AC34" s="343"/>
      <c r="AD34" s="343"/>
    </row>
    <row r="35" ht="33.0" customHeight="1">
      <c r="A35" s="337" t="str">
        <f>+SUMMARY!A33</f>
        <v/>
      </c>
      <c r="B35" s="338" t="str">
        <f>+SUMMARY!B33</f>
        <v/>
      </c>
      <c r="C35" s="338" t="str">
        <f>+SUMMARY!C33</f>
        <v/>
      </c>
      <c r="D35" s="338" t="str">
        <f>+SUMMARY!D33</f>
        <v/>
      </c>
      <c r="E35" s="338" t="str">
        <f>+SUMMARY!E33</f>
        <v/>
      </c>
      <c r="F35" s="338" t="str">
        <f>+SUMMARY!F33</f>
        <v/>
      </c>
      <c r="G35" s="338" t="str">
        <f>+SUMMARY!G33</f>
        <v/>
      </c>
      <c r="H35" s="339" t="str">
        <f>+SUMMARY!H33</f>
        <v/>
      </c>
      <c r="I35" s="340" t="str">
        <f t="shared" si="1"/>
        <v>#DIV/0!</v>
      </c>
      <c r="J35" s="341"/>
      <c r="K35" s="343"/>
      <c r="L35" s="343"/>
      <c r="M35" s="343"/>
      <c r="N35" s="343"/>
      <c r="O35" s="343"/>
      <c r="P35" s="343"/>
      <c r="Q35" s="343"/>
      <c r="R35" s="343"/>
      <c r="S35" s="343"/>
      <c r="T35" s="343"/>
      <c r="U35" s="343"/>
      <c r="V35" s="343"/>
      <c r="W35" s="343"/>
      <c r="X35" s="343"/>
      <c r="Y35" s="343"/>
      <c r="Z35" s="343"/>
      <c r="AA35" s="343"/>
      <c r="AB35" s="343"/>
      <c r="AC35" s="343"/>
      <c r="AD35" s="343"/>
    </row>
    <row r="36" ht="33.0" customHeight="1">
      <c r="A36" s="337" t="str">
        <f>+SUMMARY!A34</f>
        <v/>
      </c>
      <c r="B36" s="338" t="str">
        <f>+SUMMARY!B34</f>
        <v/>
      </c>
      <c r="C36" s="338" t="str">
        <f>+SUMMARY!C34</f>
        <v/>
      </c>
      <c r="D36" s="338" t="str">
        <f>+SUMMARY!D34</f>
        <v/>
      </c>
      <c r="E36" s="338" t="str">
        <f>+SUMMARY!E34</f>
        <v/>
      </c>
      <c r="F36" s="338" t="str">
        <f>+SUMMARY!F34</f>
        <v/>
      </c>
      <c r="G36" s="338" t="str">
        <f>+SUMMARY!G34</f>
        <v/>
      </c>
      <c r="H36" s="339" t="str">
        <f>+SUMMARY!H34</f>
        <v/>
      </c>
      <c r="I36" s="340" t="str">
        <f t="shared" si="1"/>
        <v>#DIV/0!</v>
      </c>
      <c r="J36" s="341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ht="33.0" customHeight="1">
      <c r="A37" s="337" t="str">
        <f>+SUMMARY!A35</f>
        <v/>
      </c>
      <c r="B37" s="338" t="str">
        <f>+SUMMARY!B35</f>
        <v/>
      </c>
      <c r="C37" s="338" t="str">
        <f>+SUMMARY!C35</f>
        <v/>
      </c>
      <c r="D37" s="338" t="str">
        <f>+SUMMARY!D35</f>
        <v/>
      </c>
      <c r="E37" s="338" t="str">
        <f>+SUMMARY!E35</f>
        <v/>
      </c>
      <c r="F37" s="338" t="str">
        <f>+SUMMARY!F35</f>
        <v/>
      </c>
      <c r="G37" s="338" t="str">
        <f>+SUMMARY!G35</f>
        <v/>
      </c>
      <c r="H37" s="339" t="str">
        <f>+SUMMARY!H35</f>
        <v/>
      </c>
      <c r="I37" s="340" t="str">
        <f t="shared" si="1"/>
        <v>#DIV/0!</v>
      </c>
      <c r="J37" s="341"/>
      <c r="K37" s="343"/>
      <c r="L37" s="343"/>
      <c r="M37" s="343"/>
      <c r="N37" s="343"/>
      <c r="O37" s="343"/>
      <c r="P37" s="343"/>
      <c r="Q37" s="343"/>
      <c r="R37" s="343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</row>
    <row r="38" ht="30.0" customHeight="1">
      <c r="A38" s="344" t="s">
        <v>133</v>
      </c>
      <c r="B38" s="345" t="str">
        <f t="shared" ref="B38:G38" si="2">SUM(B8:B37)</f>
        <v>#ERROR!</v>
      </c>
      <c r="C38" s="345" t="str">
        <f t="shared" si="2"/>
        <v>#ERROR!</v>
      </c>
      <c r="D38" s="345" t="str">
        <f t="shared" si="2"/>
        <v>#ERROR!</v>
      </c>
      <c r="E38" s="345" t="str">
        <f t="shared" si="2"/>
        <v>#ERROR!</v>
      </c>
      <c r="F38" s="345" t="str">
        <f t="shared" si="2"/>
        <v>#ERROR!</v>
      </c>
      <c r="G38" s="345" t="str">
        <f t="shared" si="2"/>
        <v>#ERROR!</v>
      </c>
      <c r="H38" s="346"/>
      <c r="I38" s="347" t="str">
        <f t="shared" si="1"/>
        <v>#ERROR!</v>
      </c>
      <c r="J38" s="348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  <c r="AA38" s="327"/>
      <c r="AB38" s="327"/>
      <c r="AC38" s="327"/>
      <c r="AD38" s="327"/>
    </row>
    <row r="39" ht="24.75" customHeight="1">
      <c r="A39" s="349" t="s">
        <v>49</v>
      </c>
      <c r="B39" s="350"/>
      <c r="C39" s="351" t="str">
        <f>+C38/B38</f>
        <v>#ERROR!</v>
      </c>
      <c r="D39" s="352" t="str">
        <f>+D38/B38</f>
        <v>#ERROR!</v>
      </c>
      <c r="E39" s="351" t="str">
        <f>+E38/B38</f>
        <v>#ERROR!</v>
      </c>
      <c r="F39" s="351" t="str">
        <f>+F38/B38</f>
        <v>#ERROR!</v>
      </c>
      <c r="G39" s="351" t="str">
        <f>+G38/B38</f>
        <v>#ERROR!</v>
      </c>
      <c r="H39" s="353" t="str">
        <f>+SUMMARY!H37</f>
        <v/>
      </c>
      <c r="I39" s="354"/>
      <c r="J39" s="355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ht="33.75" customHeight="1">
      <c r="A40" s="356" t="s">
        <v>134</v>
      </c>
      <c r="B40" s="357"/>
      <c r="C40" s="358"/>
      <c r="D40" s="358">
        <v>0.0053</v>
      </c>
      <c r="E40" s="358">
        <v>0.0084</v>
      </c>
      <c r="F40" s="358"/>
      <c r="G40" s="359">
        <v>0.0061</v>
      </c>
      <c r="H40" s="360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ht="40.5" customHeight="1">
      <c r="A41" s="361"/>
      <c r="B41" s="327"/>
      <c r="C41" s="327"/>
      <c r="D41" s="327" t="s">
        <v>135</v>
      </c>
      <c r="E41" s="327"/>
      <c r="F41" s="362" t="str">
        <f>+D38+E38+F38+G38</f>
        <v>#ERROR!</v>
      </c>
      <c r="G41" s="327"/>
      <c r="H41" s="363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</row>
    <row r="42" ht="23.25" customHeight="1">
      <c r="A42" s="361"/>
      <c r="B42" s="327"/>
      <c r="C42" s="327"/>
      <c r="D42" s="327" t="s">
        <v>136</v>
      </c>
      <c r="E42" s="327"/>
      <c r="F42" s="364" t="str">
        <f>+F41/B38</f>
        <v>#ERROR!</v>
      </c>
      <c r="G42" s="327"/>
      <c r="H42" s="363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</row>
    <row r="43" ht="23.25" customHeight="1">
      <c r="A43" s="361"/>
      <c r="B43" s="327"/>
      <c r="C43" s="327"/>
      <c r="D43" s="327" t="s">
        <v>137</v>
      </c>
      <c r="E43" s="327"/>
      <c r="F43" s="364" t="str">
        <f t="shared" ref="F43:F44" si="3">+D39+E39+G39</f>
        <v>#ERROR!</v>
      </c>
      <c r="G43" s="327"/>
      <c r="H43" s="363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</row>
    <row r="44" ht="23.25" customHeight="1">
      <c r="A44" s="361"/>
      <c r="B44" s="327"/>
      <c r="C44" s="326" t="s">
        <v>138</v>
      </c>
      <c r="D44" s="326"/>
      <c r="E44" s="326"/>
      <c r="F44" s="330">
        <f t="shared" si="3"/>
        <v>0.0198</v>
      </c>
      <c r="G44" s="327"/>
      <c r="H44" s="363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</row>
    <row r="45" ht="23.25" customHeight="1">
      <c r="A45" s="361" t="s">
        <v>139</v>
      </c>
      <c r="B45" s="327"/>
      <c r="C45" s="327"/>
      <c r="D45" s="365">
        <v>9.0</v>
      </c>
      <c r="E45" s="327"/>
      <c r="F45" s="327"/>
      <c r="G45" s="327"/>
      <c r="H45" s="363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</row>
    <row r="46" ht="23.25" customHeight="1">
      <c r="A46" s="361"/>
      <c r="B46" s="327"/>
      <c r="C46" s="327" t="s">
        <v>140</v>
      </c>
      <c r="D46" s="366" t="str">
        <f t="shared" ref="D46:E46" si="4">+$D$45*D38</f>
        <v>#ERROR!</v>
      </c>
      <c r="E46" s="366" t="str">
        <f t="shared" si="4"/>
        <v>#ERROR!</v>
      </c>
      <c r="F46" s="366"/>
      <c r="G46" s="366" t="str">
        <f>+$D$45*G38</f>
        <v>#ERROR!</v>
      </c>
      <c r="H46" s="363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</row>
    <row r="47" ht="24.0" customHeight="1">
      <c r="A47" s="367"/>
      <c r="B47" s="368"/>
      <c r="C47" s="368"/>
      <c r="D47" s="368"/>
      <c r="E47" s="368"/>
      <c r="F47" s="368"/>
      <c r="G47" s="368"/>
      <c r="H47" s="369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</row>
    <row r="48" ht="23.25" customHeight="1">
      <c r="A48" s="327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  <c r="AA48" s="327"/>
      <c r="AB48" s="327"/>
      <c r="AC48" s="327"/>
      <c r="AD48" s="327"/>
    </row>
    <row r="49" ht="23.25" customHeight="1">
      <c r="A49" s="327"/>
      <c r="B49" s="327"/>
      <c r="C49" s="327"/>
      <c r="D49" s="327"/>
      <c r="E49" s="327"/>
      <c r="F49" s="370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  <c r="AA49" s="327"/>
      <c r="AB49" s="327"/>
      <c r="AC49" s="327"/>
      <c r="AD49" s="327"/>
    </row>
    <row r="50" ht="23.25" customHeight="1">
      <c r="A50" s="327"/>
      <c r="B50" s="327"/>
      <c r="C50" s="327"/>
      <c r="D50" s="327"/>
      <c r="E50" s="370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</row>
    <row r="51" ht="23.25" customHeight="1">
      <c r="A51" s="327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</row>
    <row r="52" ht="23.25" customHeight="1">
      <c r="A52" s="327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  <c r="AA52" s="327"/>
      <c r="AB52" s="327"/>
      <c r="AC52" s="327"/>
      <c r="AD52" s="327"/>
    </row>
    <row r="53" ht="23.25" customHeight="1">
      <c r="A53" s="327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</row>
    <row r="54" ht="23.25" customHeight="1">
      <c r="A54" s="327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</row>
    <row r="55" ht="23.25" customHeight="1">
      <c r="A55" s="327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7"/>
      <c r="M55" s="327"/>
      <c r="N55" s="327"/>
      <c r="O55" s="327"/>
      <c r="P55" s="327"/>
      <c r="Q55" s="327"/>
      <c r="R55" s="327"/>
      <c r="S55" s="327"/>
      <c r="T55" s="327"/>
      <c r="U55" s="327"/>
      <c r="V55" s="327"/>
      <c r="W55" s="327"/>
      <c r="X55" s="327"/>
      <c r="Y55" s="327"/>
      <c r="Z55" s="327"/>
      <c r="AA55" s="327"/>
      <c r="AB55" s="327"/>
      <c r="AC55" s="327"/>
      <c r="AD55" s="327"/>
    </row>
    <row r="56" ht="23.25" customHeight="1">
      <c r="A56" s="327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  <c r="AA56" s="327"/>
      <c r="AB56" s="327"/>
      <c r="AC56" s="327"/>
      <c r="AD56" s="327"/>
    </row>
    <row r="57" ht="23.25" customHeight="1">
      <c r="A57" s="327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  <c r="M57" s="327"/>
      <c r="N57" s="327"/>
      <c r="O57" s="327"/>
      <c r="P57" s="327"/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</row>
    <row r="58" ht="23.25" customHeight="1">
      <c r="A58" s="327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</row>
    <row r="59" ht="23.25" customHeight="1">
      <c r="A59" s="327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</row>
    <row r="60" ht="23.25" customHeight="1">
      <c r="A60" s="327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</row>
    <row r="61" ht="23.25" customHeight="1">
      <c r="A61" s="327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</row>
    <row r="62" ht="23.25" customHeight="1">
      <c r="A62" s="327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7"/>
      <c r="AC62" s="327"/>
      <c r="AD62" s="327"/>
    </row>
    <row r="63" ht="23.25" customHeight="1">
      <c r="A63" s="327"/>
      <c r="B63" s="327"/>
      <c r="C63" s="327"/>
      <c r="D63" s="327"/>
      <c r="E63" s="327"/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7"/>
      <c r="AC63" s="327"/>
      <c r="AD63" s="327"/>
    </row>
    <row r="64" ht="23.25" customHeight="1">
      <c r="A64" s="327"/>
      <c r="B64" s="327"/>
      <c r="C64" s="327"/>
      <c r="D64" s="327"/>
      <c r="E64" s="327"/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7"/>
      <c r="AC64" s="327"/>
      <c r="AD64" s="327"/>
    </row>
    <row r="65" ht="23.25" customHeight="1">
      <c r="A65" s="327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327"/>
      <c r="M65" s="327"/>
      <c r="N65" s="3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/>
      <c r="AB65" s="327"/>
      <c r="AC65" s="327"/>
      <c r="AD65" s="327"/>
    </row>
    <row r="66" ht="23.25" customHeight="1">
      <c r="A66" s="327"/>
      <c r="B66" s="327"/>
      <c r="C66" s="327"/>
      <c r="D66" s="327"/>
      <c r="E66" s="327"/>
      <c r="F66" s="327"/>
      <c r="G66" s="327"/>
      <c r="H66" s="327"/>
      <c r="I66" s="327"/>
      <c r="J66" s="327"/>
      <c r="K66" s="327"/>
      <c r="L66" s="327"/>
      <c r="M66" s="327"/>
      <c r="N66" s="3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/>
      <c r="AC66" s="327"/>
      <c r="AD66" s="327"/>
    </row>
    <row r="67" ht="23.25" customHeight="1">
      <c r="A67" s="327"/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</row>
    <row r="68" ht="23.25" customHeight="1">
      <c r="A68" s="327"/>
      <c r="B68" s="327"/>
      <c r="C68" s="327"/>
      <c r="D68" s="327"/>
      <c r="E68" s="327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</row>
    <row r="69" ht="23.25" customHeight="1">
      <c r="A69" s="327"/>
      <c r="B69" s="327"/>
      <c r="C69" s="327"/>
      <c r="D69" s="327"/>
      <c r="E69" s="327"/>
      <c r="F69" s="327"/>
      <c r="G69" s="327"/>
      <c r="H69" s="327"/>
      <c r="I69" s="327"/>
      <c r="J69" s="327"/>
      <c r="K69" s="327"/>
      <c r="L69" s="327"/>
      <c r="M69" s="327"/>
      <c r="N69" s="3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</row>
    <row r="70" ht="23.25" customHeight="1">
      <c r="A70" s="327"/>
      <c r="B70" s="327"/>
      <c r="C70" s="327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</row>
    <row r="71" ht="23.25" customHeight="1">
      <c r="A71" s="327"/>
      <c r="B71" s="327"/>
      <c r="C71" s="327"/>
      <c r="D71" s="327"/>
      <c r="E71" s="327"/>
      <c r="F71" s="327"/>
      <c r="G71" s="327"/>
      <c r="H71" s="327"/>
      <c r="I71" s="327"/>
      <c r="J71" s="327"/>
      <c r="K71" s="327"/>
      <c r="L71" s="327"/>
      <c r="M71" s="327"/>
      <c r="N71" s="3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27"/>
    </row>
    <row r="72" ht="23.25" customHeight="1">
      <c r="A72" s="327"/>
      <c r="B72" s="327"/>
      <c r="C72" s="327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7"/>
      <c r="T72" s="327"/>
      <c r="U72" s="327"/>
      <c r="V72" s="327"/>
      <c r="W72" s="327"/>
      <c r="X72" s="327"/>
      <c r="Y72" s="327"/>
      <c r="Z72" s="327"/>
      <c r="AA72" s="327"/>
      <c r="AB72" s="327"/>
      <c r="AC72" s="327"/>
      <c r="AD72" s="327"/>
    </row>
    <row r="73" ht="23.25" customHeight="1">
      <c r="A73" s="327"/>
      <c r="B73" s="327"/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</row>
    <row r="74" ht="23.25" customHeight="1">
      <c r="A74" s="327"/>
      <c r="B74" s="327"/>
      <c r="C74" s="327"/>
      <c r="D74" s="327"/>
      <c r="E74" s="327"/>
      <c r="F74" s="327"/>
      <c r="G74" s="327"/>
      <c r="H74" s="327"/>
      <c r="I74" s="327"/>
      <c r="J74" s="327"/>
      <c r="K74" s="327"/>
      <c r="L74" s="327"/>
      <c r="M74" s="327"/>
      <c r="N74" s="327"/>
      <c r="O74" s="327"/>
      <c r="P74" s="327"/>
      <c r="Q74" s="327"/>
      <c r="R74" s="327"/>
      <c r="S74" s="327"/>
      <c r="T74" s="327"/>
      <c r="U74" s="327"/>
      <c r="V74" s="327"/>
      <c r="W74" s="327"/>
      <c r="X74" s="327"/>
      <c r="Y74" s="327"/>
      <c r="Z74" s="327"/>
      <c r="AA74" s="327"/>
      <c r="AB74" s="327"/>
      <c r="AC74" s="327"/>
      <c r="AD74" s="327"/>
    </row>
    <row r="75" ht="23.25" customHeight="1">
      <c r="A75" s="327"/>
      <c r="B75" s="327"/>
      <c r="C75" s="327"/>
      <c r="D75" s="327"/>
      <c r="E75" s="327"/>
      <c r="F75" s="327"/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ht="23.25" customHeight="1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ht="23.25" customHeight="1">
      <c r="A77" s="327"/>
      <c r="B77" s="327"/>
      <c r="C77" s="327"/>
      <c r="D77" s="327"/>
      <c r="E77" s="327"/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  <c r="AA77" s="327"/>
      <c r="AB77" s="327"/>
      <c r="AC77" s="327"/>
      <c r="AD77" s="327"/>
    </row>
    <row r="78" ht="23.25" customHeight="1">
      <c r="A78" s="327"/>
      <c r="B78" s="327"/>
      <c r="C78" s="327"/>
      <c r="D78" s="327"/>
      <c r="E78" s="327"/>
      <c r="F78" s="327"/>
      <c r="G78" s="327"/>
      <c r="H78" s="327"/>
      <c r="I78" s="327"/>
      <c r="J78" s="327"/>
      <c r="K78" s="327"/>
      <c r="L78" s="327"/>
      <c r="M78" s="327"/>
      <c r="N78" s="327"/>
      <c r="O78" s="327"/>
      <c r="P78" s="327"/>
      <c r="Q78" s="327"/>
      <c r="R78" s="327"/>
      <c r="S78" s="327"/>
      <c r="T78" s="327"/>
      <c r="U78" s="327"/>
      <c r="V78" s="327"/>
      <c r="W78" s="327"/>
      <c r="X78" s="327"/>
      <c r="Y78" s="327"/>
      <c r="Z78" s="327"/>
      <c r="AA78" s="327"/>
      <c r="AB78" s="327"/>
      <c r="AC78" s="327"/>
      <c r="AD78" s="327"/>
    </row>
    <row r="79" ht="23.25" customHeight="1">
      <c r="A79" s="327"/>
      <c r="B79" s="327"/>
      <c r="C79" s="327"/>
      <c r="D79" s="327"/>
      <c r="E79" s="327"/>
      <c r="F79" s="327"/>
      <c r="G79" s="327"/>
      <c r="H79" s="327"/>
      <c r="I79" s="327"/>
      <c r="J79" s="327"/>
      <c r="K79" s="327"/>
      <c r="L79" s="327"/>
      <c r="M79" s="327"/>
      <c r="N79" s="327"/>
      <c r="O79" s="327"/>
      <c r="P79" s="327"/>
      <c r="Q79" s="327"/>
      <c r="R79" s="327"/>
      <c r="S79" s="327"/>
      <c r="T79" s="327"/>
      <c r="U79" s="327"/>
      <c r="V79" s="327"/>
      <c r="W79" s="327"/>
      <c r="X79" s="327"/>
      <c r="Y79" s="327"/>
      <c r="Z79" s="327"/>
      <c r="AA79" s="327"/>
      <c r="AB79" s="327"/>
      <c r="AC79" s="327"/>
      <c r="AD79" s="327"/>
    </row>
    <row r="80" ht="23.25" customHeight="1">
      <c r="A80" s="327"/>
      <c r="B80" s="327"/>
      <c r="C80" s="327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7"/>
      <c r="T80" s="327"/>
      <c r="U80" s="327"/>
      <c r="V80" s="327"/>
      <c r="W80" s="327"/>
      <c r="X80" s="327"/>
      <c r="Y80" s="327"/>
      <c r="Z80" s="327"/>
      <c r="AA80" s="327"/>
      <c r="AB80" s="327"/>
      <c r="AC80" s="327"/>
      <c r="AD80" s="327"/>
    </row>
    <row r="81" ht="23.25" customHeight="1">
      <c r="A81" s="327"/>
      <c r="B81" s="327"/>
      <c r="C81" s="327"/>
      <c r="D81" s="327"/>
      <c r="E81" s="327"/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27"/>
      <c r="Q81" s="327"/>
      <c r="R81" s="327"/>
      <c r="S81" s="327"/>
      <c r="T81" s="327"/>
      <c r="U81" s="327"/>
      <c r="V81" s="327"/>
      <c r="W81" s="327"/>
      <c r="X81" s="327"/>
      <c r="Y81" s="327"/>
      <c r="Z81" s="327"/>
      <c r="AA81" s="327"/>
      <c r="AB81" s="327"/>
      <c r="AC81" s="327"/>
      <c r="AD81" s="327"/>
    </row>
    <row r="82" ht="23.25" customHeight="1">
      <c r="A82" s="327"/>
      <c r="B82" s="327"/>
      <c r="C82" s="327"/>
      <c r="D82" s="327"/>
      <c r="E82" s="327"/>
      <c r="F82" s="327"/>
      <c r="G82" s="327"/>
      <c r="H82" s="327"/>
      <c r="I82" s="327"/>
      <c r="J82" s="327"/>
      <c r="K82" s="327"/>
      <c r="L82" s="327"/>
      <c r="M82" s="327"/>
      <c r="N82" s="327"/>
      <c r="O82" s="327"/>
      <c r="P82" s="327"/>
      <c r="Q82" s="327"/>
      <c r="R82" s="327"/>
      <c r="S82" s="327"/>
      <c r="T82" s="327"/>
      <c r="U82" s="327"/>
      <c r="V82" s="327"/>
      <c r="W82" s="327"/>
      <c r="X82" s="327"/>
      <c r="Y82" s="327"/>
      <c r="Z82" s="327"/>
      <c r="AA82" s="327"/>
      <c r="AB82" s="327"/>
      <c r="AC82" s="327"/>
      <c r="AD82" s="327"/>
    </row>
    <row r="83" ht="23.25" customHeight="1">
      <c r="A83" s="327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</row>
    <row r="84" ht="23.25" customHeight="1">
      <c r="A84" s="327"/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</row>
    <row r="85" ht="23.25" customHeight="1">
      <c r="A85" s="327"/>
      <c r="B85" s="327"/>
      <c r="C85" s="327"/>
      <c r="D85" s="327"/>
      <c r="E85" s="327"/>
      <c r="F85" s="327"/>
      <c r="G85" s="327"/>
      <c r="H85" s="327"/>
      <c r="I85" s="327"/>
      <c r="J85" s="327"/>
      <c r="K85" s="327"/>
      <c r="L85" s="327"/>
      <c r="M85" s="327"/>
      <c r="N85" s="327"/>
      <c r="O85" s="327"/>
      <c r="P85" s="327"/>
      <c r="Q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  <c r="AB85" s="327"/>
      <c r="AC85" s="327"/>
      <c r="AD85" s="327"/>
    </row>
    <row r="86" ht="23.25" customHeight="1">
      <c r="A86" s="327"/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  <c r="T86" s="327"/>
      <c r="U86" s="327"/>
      <c r="V86" s="327"/>
      <c r="W86" s="327"/>
      <c r="X86" s="327"/>
      <c r="Y86" s="327"/>
      <c r="Z86" s="327"/>
      <c r="AA86" s="327"/>
      <c r="AB86" s="327"/>
      <c r="AC86" s="327"/>
      <c r="AD86" s="327"/>
    </row>
    <row r="87" ht="23.25" customHeight="1">
      <c r="A87" s="327"/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  <c r="AA87" s="327"/>
      <c r="AB87" s="327"/>
      <c r="AC87" s="327"/>
      <c r="AD87" s="327"/>
    </row>
    <row r="88" ht="23.25" customHeight="1">
      <c r="A88" s="327"/>
      <c r="B88" s="327"/>
      <c r="C88" s="327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7"/>
      <c r="T88" s="327"/>
      <c r="U88" s="327"/>
      <c r="V88" s="327"/>
      <c r="W88" s="327"/>
      <c r="X88" s="327"/>
      <c r="Y88" s="327"/>
      <c r="Z88" s="327"/>
      <c r="AA88" s="327"/>
      <c r="AB88" s="327"/>
      <c r="AC88" s="327"/>
      <c r="AD88" s="327"/>
    </row>
    <row r="89" ht="23.25" customHeight="1">
      <c r="A89" s="327"/>
      <c r="B89" s="327"/>
      <c r="C89" s="327"/>
      <c r="D89" s="327"/>
      <c r="E89" s="327"/>
      <c r="F89" s="327"/>
      <c r="G89" s="327"/>
      <c r="H89" s="327"/>
      <c r="I89" s="327"/>
      <c r="J89" s="327"/>
      <c r="K89" s="327"/>
      <c r="L89" s="327"/>
      <c r="M89" s="327"/>
      <c r="N89" s="327"/>
      <c r="O89" s="327"/>
      <c r="P89" s="327"/>
      <c r="Q89" s="327"/>
      <c r="R89" s="327"/>
      <c r="S89" s="327"/>
      <c r="T89" s="327"/>
      <c r="U89" s="327"/>
      <c r="V89" s="327"/>
      <c r="W89" s="327"/>
      <c r="X89" s="327"/>
      <c r="Y89" s="327"/>
      <c r="Z89" s="327"/>
      <c r="AA89" s="327"/>
      <c r="AB89" s="327"/>
      <c r="AC89" s="327"/>
      <c r="AD89" s="327"/>
    </row>
    <row r="90" ht="23.25" customHeight="1">
      <c r="A90" s="327"/>
      <c r="B90" s="327"/>
      <c r="C90" s="327"/>
      <c r="D90" s="327"/>
      <c r="E90" s="327"/>
      <c r="F90" s="327"/>
      <c r="G90" s="327"/>
      <c r="H90" s="327"/>
      <c r="I90" s="327"/>
      <c r="J90" s="327"/>
      <c r="K90" s="327"/>
      <c r="L90" s="327"/>
      <c r="M90" s="327"/>
      <c r="N90" s="327"/>
      <c r="O90" s="327"/>
      <c r="P90" s="327"/>
      <c r="Q90" s="327"/>
      <c r="R90" s="327"/>
      <c r="S90" s="327"/>
      <c r="T90" s="327"/>
      <c r="U90" s="327"/>
      <c r="V90" s="327"/>
      <c r="W90" s="327"/>
      <c r="X90" s="327"/>
      <c r="Y90" s="327"/>
      <c r="Z90" s="327"/>
      <c r="AA90" s="327"/>
      <c r="AB90" s="327"/>
      <c r="AC90" s="327"/>
      <c r="AD90" s="327"/>
    </row>
    <row r="91" ht="23.25" customHeight="1">
      <c r="A91" s="327"/>
      <c r="B91" s="327"/>
      <c r="C91" s="327"/>
      <c r="D91" s="327"/>
      <c r="E91" s="327"/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  <c r="T91" s="327"/>
      <c r="U91" s="327"/>
      <c r="V91" s="327"/>
      <c r="W91" s="327"/>
      <c r="X91" s="327"/>
      <c r="Y91" s="327"/>
      <c r="Z91" s="327"/>
      <c r="AA91" s="327"/>
      <c r="AB91" s="327"/>
      <c r="AC91" s="327"/>
      <c r="AD91" s="327"/>
    </row>
    <row r="92" ht="23.25" customHeight="1">
      <c r="A92" s="327"/>
      <c r="B92" s="327"/>
      <c r="C92" s="327"/>
      <c r="D92" s="327"/>
      <c r="E92" s="327"/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  <c r="AA92" s="327"/>
      <c r="AB92" s="327"/>
      <c r="AC92" s="327"/>
      <c r="AD92" s="327"/>
    </row>
    <row r="93" ht="23.25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</row>
    <row r="94" ht="23.25" customHeight="1">
      <c r="A94" s="327"/>
      <c r="B94" s="327"/>
      <c r="C94" s="327"/>
      <c r="D94" s="327"/>
      <c r="E94" s="327"/>
      <c r="F94" s="327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327"/>
      <c r="U94" s="327"/>
      <c r="V94" s="327"/>
      <c r="W94" s="327"/>
      <c r="X94" s="327"/>
      <c r="Y94" s="327"/>
      <c r="Z94" s="327"/>
      <c r="AA94" s="327"/>
      <c r="AB94" s="327"/>
      <c r="AC94" s="327"/>
      <c r="AD94" s="327"/>
    </row>
    <row r="95" ht="23.25" customHeight="1">
      <c r="A95" s="327"/>
      <c r="B95" s="327"/>
      <c r="C95" s="327"/>
      <c r="D95" s="327"/>
      <c r="E95" s="327"/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  <c r="AA95" s="327"/>
      <c r="AB95" s="327"/>
      <c r="AC95" s="327"/>
      <c r="AD95" s="327"/>
    </row>
    <row r="96" ht="23.25" customHeight="1">
      <c r="A96" s="327"/>
      <c r="B96" s="327"/>
      <c r="C96" s="327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327"/>
      <c r="U96" s="327"/>
      <c r="V96" s="327"/>
      <c r="W96" s="327"/>
      <c r="X96" s="327"/>
      <c r="Y96" s="327"/>
      <c r="Z96" s="327"/>
      <c r="AA96" s="327"/>
      <c r="AB96" s="327"/>
      <c r="AC96" s="327"/>
      <c r="AD96" s="327"/>
    </row>
    <row r="97" ht="23.25" customHeight="1">
      <c r="A97" s="327"/>
      <c r="B97" s="327"/>
      <c r="C97" s="327"/>
      <c r="D97" s="327"/>
      <c r="E97" s="327"/>
      <c r="F97" s="327"/>
      <c r="G97" s="327"/>
      <c r="H97" s="327"/>
      <c r="I97" s="327"/>
      <c r="J97" s="327"/>
      <c r="K97" s="327"/>
      <c r="L97" s="327"/>
      <c r="M97" s="327"/>
      <c r="N97" s="327"/>
      <c r="O97" s="327"/>
      <c r="P97" s="327"/>
      <c r="Q97" s="327"/>
      <c r="R97" s="327"/>
      <c r="S97" s="327"/>
      <c r="T97" s="327"/>
      <c r="U97" s="327"/>
      <c r="V97" s="327"/>
      <c r="W97" s="327"/>
      <c r="X97" s="327"/>
      <c r="Y97" s="327"/>
      <c r="Z97" s="327"/>
      <c r="AA97" s="327"/>
      <c r="AB97" s="327"/>
      <c r="AC97" s="327"/>
      <c r="AD97" s="327"/>
    </row>
    <row r="98" ht="23.25" customHeight="1">
      <c r="A98" s="327"/>
      <c r="B98" s="327"/>
      <c r="C98" s="32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</row>
    <row r="99" ht="23.25" customHeight="1">
      <c r="A99" s="327"/>
      <c r="B99" s="327"/>
      <c r="C99" s="32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</row>
    <row r="100" ht="23.25" customHeight="1">
      <c r="A100" s="327"/>
      <c r="B100" s="327"/>
      <c r="C100" s="327"/>
      <c r="D100" s="327"/>
      <c r="E100" s="327"/>
      <c r="F100" s="327"/>
      <c r="G100" s="327"/>
      <c r="H100" s="327"/>
      <c r="I100" s="327"/>
      <c r="J100" s="327"/>
      <c r="K100" s="327"/>
      <c r="L100" s="327"/>
      <c r="M100" s="327"/>
      <c r="N100" s="327"/>
      <c r="O100" s="327"/>
      <c r="P100" s="327"/>
      <c r="Q100" s="327"/>
      <c r="R100" s="327"/>
      <c r="S100" s="327"/>
      <c r="T100" s="327"/>
      <c r="U100" s="327"/>
      <c r="V100" s="327"/>
      <c r="W100" s="327"/>
      <c r="X100" s="327"/>
      <c r="Y100" s="327"/>
      <c r="Z100" s="327"/>
      <c r="AA100" s="327"/>
      <c r="AB100" s="327"/>
      <c r="AC100" s="327"/>
      <c r="AD100" s="327"/>
    </row>
    <row r="101" ht="23.25" customHeight="1">
      <c r="A101" s="327"/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  <c r="L101" s="327"/>
      <c r="M101" s="327"/>
      <c r="N101" s="327"/>
      <c r="O101" s="327"/>
      <c r="P101" s="327"/>
      <c r="Q101" s="327"/>
      <c r="R101" s="327"/>
      <c r="S101" s="327"/>
      <c r="T101" s="327"/>
      <c r="U101" s="327"/>
      <c r="V101" s="327"/>
      <c r="W101" s="327"/>
      <c r="X101" s="327"/>
      <c r="Y101" s="327"/>
      <c r="Z101" s="327"/>
      <c r="AA101" s="327"/>
      <c r="AB101" s="327"/>
      <c r="AC101" s="327"/>
      <c r="AD101" s="327"/>
    </row>
    <row r="102" ht="23.25" customHeight="1">
      <c r="A102" s="327"/>
      <c r="B102" s="327"/>
      <c r="C102" s="327"/>
      <c r="D102" s="327"/>
      <c r="E102" s="327"/>
      <c r="F102" s="327"/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7"/>
      <c r="T102" s="327"/>
      <c r="U102" s="327"/>
      <c r="V102" s="327"/>
      <c r="W102" s="327"/>
      <c r="X102" s="327"/>
      <c r="Y102" s="327"/>
      <c r="Z102" s="327"/>
      <c r="AA102" s="327"/>
      <c r="AB102" s="327"/>
      <c r="AC102" s="327"/>
      <c r="AD102" s="327"/>
    </row>
    <row r="103" ht="23.25" customHeight="1">
      <c r="A103" s="327"/>
      <c r="B103" s="327"/>
      <c r="C103" s="327"/>
      <c r="D103" s="327"/>
      <c r="E103" s="327"/>
      <c r="F103" s="327"/>
      <c r="G103" s="327"/>
      <c r="H103" s="327"/>
      <c r="I103" s="327"/>
      <c r="J103" s="327"/>
      <c r="K103" s="327"/>
      <c r="L103" s="327"/>
      <c r="M103" s="327"/>
      <c r="N103" s="327"/>
      <c r="O103" s="327"/>
      <c r="P103" s="327"/>
      <c r="Q103" s="327"/>
      <c r="R103" s="327"/>
      <c r="S103" s="327"/>
      <c r="T103" s="327"/>
      <c r="U103" s="327"/>
      <c r="V103" s="327"/>
      <c r="W103" s="327"/>
      <c r="X103" s="327"/>
      <c r="Y103" s="327"/>
      <c r="Z103" s="327"/>
      <c r="AA103" s="327"/>
      <c r="AB103" s="327"/>
      <c r="AC103" s="327"/>
      <c r="AD103" s="327"/>
    </row>
    <row r="104" ht="23.25" customHeight="1">
      <c r="A104" s="327"/>
      <c r="B104" s="327"/>
      <c r="C104" s="327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7"/>
      <c r="T104" s="327"/>
      <c r="U104" s="327"/>
      <c r="V104" s="327"/>
      <c r="W104" s="327"/>
      <c r="X104" s="327"/>
      <c r="Y104" s="327"/>
      <c r="Z104" s="327"/>
      <c r="AA104" s="327"/>
      <c r="AB104" s="327"/>
      <c r="AC104" s="327"/>
      <c r="AD104" s="327"/>
    </row>
    <row r="105" ht="23.25" customHeight="1">
      <c r="A105" s="327"/>
      <c r="B105" s="327"/>
      <c r="C105" s="327"/>
      <c r="D105" s="327"/>
      <c r="E105" s="327"/>
      <c r="F105" s="327"/>
      <c r="G105" s="327"/>
      <c r="H105" s="327"/>
      <c r="I105" s="327"/>
      <c r="J105" s="327"/>
      <c r="K105" s="327"/>
      <c r="L105" s="327"/>
      <c r="M105" s="327"/>
      <c r="N105" s="327"/>
      <c r="O105" s="327"/>
      <c r="P105" s="327"/>
      <c r="Q105" s="327"/>
      <c r="R105" s="327"/>
      <c r="S105" s="327"/>
      <c r="T105" s="327"/>
      <c r="U105" s="327"/>
      <c r="V105" s="327"/>
      <c r="W105" s="327"/>
      <c r="X105" s="327"/>
      <c r="Y105" s="327"/>
      <c r="Z105" s="327"/>
      <c r="AA105" s="327"/>
      <c r="AB105" s="327"/>
      <c r="AC105" s="327"/>
      <c r="AD105" s="327"/>
    </row>
    <row r="106" ht="23.25" customHeight="1">
      <c r="A106" s="327"/>
      <c r="B106" s="327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  <c r="AD106" s="327"/>
    </row>
    <row r="107" ht="23.25" customHeight="1">
      <c r="A107" s="327"/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  <c r="AA107" s="327"/>
      <c r="AB107" s="327"/>
      <c r="AC107" s="327"/>
      <c r="AD107" s="327"/>
    </row>
    <row r="108" ht="23.25" customHeight="1">
      <c r="A108" s="327"/>
      <c r="B108" s="327"/>
      <c r="C108" s="327"/>
      <c r="D108" s="327"/>
      <c r="E108" s="327"/>
      <c r="F108" s="327"/>
      <c r="G108" s="327"/>
      <c r="H108" s="327"/>
      <c r="I108" s="327"/>
      <c r="J108" s="327"/>
      <c r="K108" s="327"/>
      <c r="L108" s="327"/>
      <c r="M108" s="327"/>
      <c r="N108" s="327"/>
      <c r="O108" s="327"/>
      <c r="P108" s="327"/>
      <c r="Q108" s="327"/>
      <c r="R108" s="327"/>
      <c r="S108" s="327"/>
      <c r="T108" s="327"/>
      <c r="U108" s="327"/>
      <c r="V108" s="327"/>
      <c r="W108" s="327"/>
      <c r="X108" s="327"/>
      <c r="Y108" s="327"/>
      <c r="Z108" s="327"/>
      <c r="AA108" s="327"/>
      <c r="AB108" s="327"/>
      <c r="AC108" s="327"/>
      <c r="AD108" s="327"/>
    </row>
    <row r="109" ht="23.25" customHeight="1">
      <c r="A109" s="327"/>
      <c r="B109" s="327"/>
      <c r="C109" s="327"/>
      <c r="D109" s="327"/>
      <c r="E109" s="327"/>
      <c r="F109" s="327"/>
      <c r="G109" s="327"/>
      <c r="H109" s="327"/>
      <c r="I109" s="327"/>
      <c r="J109" s="327"/>
      <c r="K109" s="327"/>
      <c r="L109" s="327"/>
      <c r="M109" s="327"/>
      <c r="N109" s="327"/>
      <c r="O109" s="327"/>
      <c r="P109" s="327"/>
      <c r="Q109" s="327"/>
      <c r="R109" s="327"/>
      <c r="S109" s="327"/>
      <c r="T109" s="327"/>
      <c r="U109" s="327"/>
      <c r="V109" s="327"/>
      <c r="W109" s="327"/>
      <c r="X109" s="327"/>
      <c r="Y109" s="327"/>
      <c r="Z109" s="327"/>
      <c r="AA109" s="327"/>
      <c r="AB109" s="327"/>
      <c r="AC109" s="327"/>
      <c r="AD109" s="327"/>
    </row>
    <row r="110" ht="23.25" customHeight="1">
      <c r="A110" s="327"/>
      <c r="B110" s="327"/>
      <c r="C110" s="327"/>
      <c r="D110" s="327"/>
      <c r="E110" s="327"/>
      <c r="F110" s="327"/>
      <c r="G110" s="327"/>
      <c r="H110" s="327"/>
      <c r="I110" s="327"/>
      <c r="J110" s="327"/>
      <c r="K110" s="327"/>
      <c r="L110" s="327"/>
      <c r="M110" s="327"/>
      <c r="N110" s="327"/>
      <c r="O110" s="327"/>
      <c r="P110" s="327"/>
      <c r="Q110" s="327"/>
      <c r="R110" s="327"/>
      <c r="S110" s="327"/>
      <c r="T110" s="327"/>
      <c r="U110" s="327"/>
      <c r="V110" s="327"/>
      <c r="W110" s="327"/>
      <c r="X110" s="327"/>
      <c r="Y110" s="327"/>
      <c r="Z110" s="327"/>
      <c r="AA110" s="327"/>
      <c r="AB110" s="327"/>
      <c r="AC110" s="327"/>
      <c r="AD110" s="327"/>
    </row>
    <row r="111" ht="23.25" customHeight="1">
      <c r="A111" s="327"/>
      <c r="B111" s="327"/>
      <c r="C111" s="327"/>
      <c r="D111" s="327"/>
      <c r="E111" s="327"/>
      <c r="F111" s="327"/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ht="23.25" customHeight="1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ht="23.25" customHeight="1">
      <c r="A113" s="327"/>
      <c r="B113" s="327"/>
      <c r="C113" s="327"/>
      <c r="D113" s="327"/>
      <c r="E113" s="327"/>
      <c r="F113" s="327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  <c r="S113" s="327"/>
      <c r="T113" s="327"/>
      <c r="U113" s="327"/>
      <c r="V113" s="327"/>
      <c r="W113" s="327"/>
      <c r="X113" s="327"/>
      <c r="Y113" s="327"/>
      <c r="Z113" s="327"/>
      <c r="AA113" s="327"/>
      <c r="AB113" s="327"/>
      <c r="AC113" s="327"/>
      <c r="AD113" s="327"/>
    </row>
    <row r="114" ht="23.25" customHeight="1">
      <c r="A114" s="327"/>
      <c r="B114" s="327"/>
      <c r="C114" s="327"/>
      <c r="D114" s="327"/>
      <c r="E114" s="327"/>
      <c r="F114" s="327"/>
      <c r="G114" s="327"/>
      <c r="H114" s="327"/>
      <c r="I114" s="327"/>
      <c r="J114" s="327"/>
      <c r="K114" s="327"/>
      <c r="L114" s="327"/>
      <c r="M114" s="327"/>
      <c r="N114" s="327"/>
      <c r="O114" s="327"/>
      <c r="P114" s="327"/>
      <c r="Q114" s="327"/>
      <c r="R114" s="327"/>
      <c r="S114" s="327"/>
      <c r="T114" s="327"/>
      <c r="U114" s="327"/>
      <c r="V114" s="327"/>
      <c r="W114" s="327"/>
      <c r="X114" s="327"/>
      <c r="Y114" s="327"/>
      <c r="Z114" s="327"/>
      <c r="AA114" s="327"/>
      <c r="AB114" s="327"/>
      <c r="AC114" s="327"/>
      <c r="AD114" s="327"/>
    </row>
    <row r="115" ht="23.25" customHeight="1">
      <c r="A115" s="327"/>
      <c r="B115" s="327"/>
      <c r="C115" s="327"/>
      <c r="D115" s="327"/>
      <c r="E115" s="327"/>
      <c r="F115" s="327"/>
      <c r="G115" s="327"/>
      <c r="H115" s="327"/>
      <c r="I115" s="327"/>
      <c r="J115" s="327"/>
      <c r="K115" s="327"/>
      <c r="L115" s="327"/>
      <c r="M115" s="327"/>
      <c r="N115" s="327"/>
      <c r="O115" s="327"/>
      <c r="P115" s="327"/>
      <c r="Q115" s="327"/>
      <c r="R115" s="327"/>
      <c r="S115" s="327"/>
      <c r="T115" s="327"/>
      <c r="U115" s="327"/>
      <c r="V115" s="327"/>
      <c r="W115" s="327"/>
      <c r="X115" s="327"/>
      <c r="Y115" s="327"/>
      <c r="Z115" s="327"/>
      <c r="AA115" s="327"/>
      <c r="AB115" s="327"/>
      <c r="AC115" s="327"/>
      <c r="AD115" s="327"/>
    </row>
    <row r="116" ht="23.25" customHeight="1">
      <c r="A116" s="327"/>
      <c r="B116" s="327"/>
      <c r="C116" s="327"/>
      <c r="D116" s="327"/>
      <c r="E116" s="327"/>
      <c r="F116" s="327"/>
      <c r="G116" s="327"/>
      <c r="H116" s="327"/>
      <c r="I116" s="327"/>
      <c r="J116" s="327"/>
      <c r="K116" s="327"/>
      <c r="L116" s="327"/>
      <c r="M116" s="327"/>
      <c r="N116" s="327"/>
      <c r="O116" s="327"/>
      <c r="P116" s="327"/>
      <c r="Q116" s="327"/>
      <c r="R116" s="327"/>
      <c r="S116" s="327"/>
      <c r="T116" s="327"/>
      <c r="U116" s="327"/>
      <c r="V116" s="327"/>
      <c r="W116" s="327"/>
      <c r="X116" s="327"/>
      <c r="Y116" s="327"/>
      <c r="Z116" s="327"/>
      <c r="AA116" s="327"/>
      <c r="AB116" s="327"/>
      <c r="AC116" s="327"/>
      <c r="AD116" s="327"/>
    </row>
    <row r="117" ht="23.25" customHeight="1">
      <c r="A117" s="327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7"/>
      <c r="R117" s="327"/>
      <c r="S117" s="327"/>
      <c r="T117" s="327"/>
      <c r="U117" s="327"/>
      <c r="V117" s="327"/>
      <c r="W117" s="327"/>
      <c r="X117" s="327"/>
      <c r="Y117" s="327"/>
      <c r="Z117" s="327"/>
      <c r="AA117" s="327"/>
      <c r="AB117" s="327"/>
      <c r="AC117" s="327"/>
      <c r="AD117" s="327"/>
    </row>
    <row r="118" ht="23.25" customHeight="1">
      <c r="A118" s="327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7"/>
      <c r="R118" s="327"/>
      <c r="S118" s="327"/>
      <c r="T118" s="327"/>
      <c r="U118" s="327"/>
      <c r="V118" s="327"/>
      <c r="W118" s="327"/>
      <c r="X118" s="327"/>
      <c r="Y118" s="327"/>
      <c r="Z118" s="327"/>
      <c r="AA118" s="327"/>
      <c r="AB118" s="327"/>
      <c r="AC118" s="327"/>
      <c r="AD118" s="327"/>
    </row>
    <row r="119" ht="23.25" customHeight="1">
      <c r="A119" s="327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  <c r="AA119" s="327"/>
      <c r="AB119" s="327"/>
      <c r="AC119" s="327"/>
      <c r="AD119" s="327"/>
    </row>
    <row r="120" ht="23.25" customHeight="1">
      <c r="A120" s="327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  <c r="AA120" s="327"/>
      <c r="AB120" s="327"/>
      <c r="AC120" s="327"/>
      <c r="AD120" s="327"/>
    </row>
    <row r="121" ht="23.25" customHeight="1">
      <c r="A121" s="327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  <c r="AA121" s="327"/>
      <c r="AB121" s="327"/>
      <c r="AC121" s="327"/>
      <c r="AD121" s="327"/>
    </row>
    <row r="122" ht="23.25" customHeight="1">
      <c r="A122" s="327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  <c r="AA122" s="327"/>
      <c r="AB122" s="327"/>
      <c r="AC122" s="327"/>
      <c r="AD122" s="327"/>
    </row>
    <row r="123" ht="23.25" customHeight="1">
      <c r="A123" s="327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  <c r="AA123" s="327"/>
      <c r="AB123" s="327"/>
      <c r="AC123" s="327"/>
      <c r="AD123" s="327"/>
    </row>
    <row r="124" ht="23.25" customHeight="1">
      <c r="A124" s="327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  <c r="AA124" s="327"/>
      <c r="AB124" s="327"/>
      <c r="AC124" s="327"/>
      <c r="AD124" s="327"/>
    </row>
    <row r="125" ht="23.25" customHeight="1">
      <c r="A125" s="327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7"/>
      <c r="R125" s="327"/>
      <c r="S125" s="327"/>
      <c r="T125" s="327"/>
      <c r="U125" s="327"/>
      <c r="V125" s="327"/>
      <c r="W125" s="327"/>
      <c r="X125" s="327"/>
      <c r="Y125" s="327"/>
      <c r="Z125" s="327"/>
      <c r="AA125" s="327"/>
      <c r="AB125" s="327"/>
      <c r="AC125" s="327"/>
      <c r="AD125" s="327"/>
    </row>
    <row r="126" ht="23.25" customHeight="1">
      <c r="A126" s="327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7"/>
      <c r="R126" s="327"/>
      <c r="S126" s="327"/>
      <c r="T126" s="327"/>
      <c r="U126" s="327"/>
      <c r="V126" s="327"/>
      <c r="W126" s="327"/>
      <c r="X126" s="327"/>
      <c r="Y126" s="327"/>
      <c r="Z126" s="327"/>
      <c r="AA126" s="327"/>
      <c r="AB126" s="327"/>
      <c r="AC126" s="327"/>
      <c r="AD126" s="327"/>
    </row>
    <row r="127" ht="23.25" customHeight="1">
      <c r="A127" s="327"/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  <c r="AA127" s="327"/>
      <c r="AB127" s="327"/>
      <c r="AC127" s="327"/>
      <c r="AD127" s="327"/>
    </row>
    <row r="128" ht="23.25" customHeight="1">
      <c r="A128" s="327"/>
      <c r="B128" s="327"/>
      <c r="C128" s="327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7"/>
      <c r="T128" s="327"/>
      <c r="U128" s="327"/>
      <c r="V128" s="327"/>
      <c r="W128" s="327"/>
      <c r="X128" s="327"/>
      <c r="Y128" s="327"/>
      <c r="Z128" s="327"/>
      <c r="AA128" s="327"/>
      <c r="AB128" s="327"/>
      <c r="AC128" s="327"/>
      <c r="AD128" s="327"/>
    </row>
    <row r="129" ht="23.25" customHeight="1">
      <c r="A129" s="327"/>
      <c r="B129" s="327"/>
      <c r="C129" s="327"/>
      <c r="D129" s="327"/>
      <c r="E129" s="327"/>
      <c r="F129" s="327"/>
      <c r="G129" s="327"/>
      <c r="H129" s="327"/>
      <c r="I129" s="327"/>
      <c r="J129" s="327"/>
      <c r="K129" s="327"/>
      <c r="L129" s="327"/>
      <c r="M129" s="327"/>
      <c r="N129" s="327"/>
      <c r="O129" s="327"/>
      <c r="P129" s="327"/>
      <c r="Q129" s="327"/>
      <c r="R129" s="327"/>
      <c r="S129" s="327"/>
      <c r="T129" s="327"/>
      <c r="U129" s="327"/>
      <c r="V129" s="327"/>
      <c r="W129" s="327"/>
      <c r="X129" s="327"/>
      <c r="Y129" s="327"/>
      <c r="Z129" s="327"/>
      <c r="AA129" s="327"/>
      <c r="AB129" s="327"/>
      <c r="AC129" s="327"/>
      <c r="AD129" s="327"/>
    </row>
    <row r="130" ht="23.25" customHeight="1">
      <c r="A130" s="327"/>
      <c r="B130" s="327"/>
      <c r="C130" s="327"/>
      <c r="D130" s="327"/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7"/>
      <c r="P130" s="327"/>
      <c r="Q130" s="327"/>
      <c r="R130" s="327"/>
      <c r="S130" s="327"/>
      <c r="T130" s="327"/>
      <c r="U130" s="327"/>
      <c r="V130" s="327"/>
      <c r="W130" s="327"/>
      <c r="X130" s="327"/>
      <c r="Y130" s="327"/>
      <c r="Z130" s="327"/>
      <c r="AA130" s="327"/>
      <c r="AB130" s="327"/>
      <c r="AC130" s="327"/>
      <c r="AD130" s="327"/>
    </row>
    <row r="131" ht="23.25" customHeight="1">
      <c r="A131" s="327"/>
      <c r="B131" s="327"/>
      <c r="C131" s="327"/>
      <c r="D131" s="327"/>
      <c r="E131" s="327"/>
      <c r="F131" s="327"/>
      <c r="G131" s="327"/>
      <c r="H131" s="327"/>
      <c r="I131" s="327"/>
      <c r="J131" s="327"/>
      <c r="K131" s="327"/>
      <c r="L131" s="327"/>
      <c r="M131" s="327"/>
      <c r="N131" s="327"/>
      <c r="O131" s="327"/>
      <c r="P131" s="327"/>
      <c r="Q131" s="327"/>
      <c r="R131" s="327"/>
      <c r="S131" s="327"/>
      <c r="T131" s="327"/>
      <c r="U131" s="327"/>
      <c r="V131" s="327"/>
      <c r="W131" s="327"/>
      <c r="X131" s="327"/>
      <c r="Y131" s="327"/>
      <c r="Z131" s="327"/>
      <c r="AA131" s="327"/>
      <c r="AB131" s="327"/>
      <c r="AC131" s="327"/>
      <c r="AD131" s="327"/>
    </row>
    <row r="132" ht="23.25" customHeight="1">
      <c r="A132" s="327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327"/>
      <c r="M132" s="327"/>
      <c r="N132" s="327"/>
      <c r="O132" s="327"/>
      <c r="P132" s="327"/>
      <c r="Q132" s="327"/>
      <c r="R132" s="327"/>
      <c r="S132" s="327"/>
      <c r="T132" s="327"/>
      <c r="U132" s="327"/>
      <c r="V132" s="327"/>
      <c r="W132" s="327"/>
      <c r="X132" s="327"/>
      <c r="Y132" s="327"/>
      <c r="Z132" s="327"/>
      <c r="AA132" s="327"/>
      <c r="AB132" s="327"/>
      <c r="AC132" s="327"/>
      <c r="AD132" s="327"/>
    </row>
    <row r="133" ht="23.25" customHeight="1">
      <c r="A133" s="327"/>
      <c r="B133" s="327"/>
      <c r="C133" s="327"/>
      <c r="D133" s="327"/>
      <c r="E133" s="327"/>
      <c r="F133" s="327"/>
      <c r="G133" s="327"/>
      <c r="H133" s="327"/>
      <c r="I133" s="327"/>
      <c r="J133" s="327"/>
      <c r="K133" s="327"/>
      <c r="L133" s="327"/>
      <c r="M133" s="327"/>
      <c r="N133" s="327"/>
      <c r="O133" s="327"/>
      <c r="P133" s="327"/>
      <c r="Q133" s="327"/>
      <c r="R133" s="327"/>
      <c r="S133" s="327"/>
      <c r="T133" s="327"/>
      <c r="U133" s="327"/>
      <c r="V133" s="327"/>
      <c r="W133" s="327"/>
      <c r="X133" s="327"/>
      <c r="Y133" s="327"/>
      <c r="Z133" s="327"/>
      <c r="AA133" s="327"/>
      <c r="AB133" s="327"/>
      <c r="AC133" s="327"/>
      <c r="AD133" s="327"/>
    </row>
    <row r="134" ht="23.25" customHeight="1">
      <c r="A134" s="327"/>
      <c r="B134" s="327"/>
      <c r="C134" s="327"/>
      <c r="D134" s="327"/>
      <c r="E134" s="327"/>
      <c r="F134" s="327"/>
      <c r="G134" s="327"/>
      <c r="H134" s="327"/>
      <c r="I134" s="327"/>
      <c r="J134" s="327"/>
      <c r="K134" s="327"/>
      <c r="L134" s="327"/>
      <c r="M134" s="327"/>
      <c r="N134" s="327"/>
      <c r="O134" s="327"/>
      <c r="P134" s="327"/>
      <c r="Q134" s="327"/>
      <c r="R134" s="327"/>
      <c r="S134" s="327"/>
      <c r="T134" s="327"/>
      <c r="U134" s="327"/>
      <c r="V134" s="327"/>
      <c r="W134" s="327"/>
      <c r="X134" s="327"/>
      <c r="Y134" s="327"/>
      <c r="Z134" s="327"/>
      <c r="AA134" s="327"/>
      <c r="AB134" s="327"/>
      <c r="AC134" s="327"/>
      <c r="AD134" s="327"/>
    </row>
    <row r="135" ht="23.25" customHeight="1">
      <c r="A135" s="327"/>
      <c r="B135" s="327"/>
      <c r="C135" s="327"/>
      <c r="D135" s="327"/>
      <c r="E135" s="327"/>
      <c r="F135" s="327"/>
      <c r="G135" s="327"/>
      <c r="H135" s="327"/>
      <c r="I135" s="327"/>
      <c r="J135" s="327"/>
      <c r="K135" s="327"/>
      <c r="L135" s="327"/>
      <c r="M135" s="327"/>
      <c r="N135" s="327"/>
      <c r="O135" s="327"/>
      <c r="P135" s="327"/>
      <c r="Q135" s="327"/>
      <c r="R135" s="327"/>
      <c r="S135" s="327"/>
      <c r="T135" s="327"/>
      <c r="U135" s="327"/>
      <c r="V135" s="327"/>
      <c r="W135" s="327"/>
      <c r="X135" s="327"/>
      <c r="Y135" s="327"/>
      <c r="Z135" s="327"/>
      <c r="AA135" s="327"/>
      <c r="AB135" s="327"/>
      <c r="AC135" s="327"/>
      <c r="AD135" s="327"/>
    </row>
    <row r="136" ht="23.25" customHeight="1">
      <c r="A136" s="327"/>
      <c r="B136" s="327"/>
      <c r="C136" s="327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7"/>
      <c r="T136" s="327"/>
      <c r="U136" s="327"/>
      <c r="V136" s="327"/>
      <c r="W136" s="327"/>
      <c r="X136" s="327"/>
      <c r="Y136" s="327"/>
      <c r="Z136" s="327"/>
      <c r="AA136" s="327"/>
      <c r="AB136" s="327"/>
      <c r="AC136" s="327"/>
      <c r="AD136" s="327"/>
    </row>
    <row r="137" ht="23.25" customHeight="1">
      <c r="A137" s="327"/>
      <c r="B137" s="327"/>
      <c r="C137" s="327"/>
      <c r="D137" s="327"/>
      <c r="E137" s="327"/>
      <c r="F137" s="327"/>
      <c r="G137" s="327"/>
      <c r="H137" s="327"/>
      <c r="I137" s="327"/>
      <c r="J137" s="327"/>
      <c r="K137" s="327"/>
      <c r="L137" s="327"/>
      <c r="M137" s="327"/>
      <c r="N137" s="327"/>
      <c r="O137" s="327"/>
      <c r="P137" s="327"/>
      <c r="Q137" s="327"/>
      <c r="R137" s="327"/>
      <c r="S137" s="327"/>
      <c r="T137" s="327"/>
      <c r="U137" s="327"/>
      <c r="V137" s="327"/>
      <c r="W137" s="327"/>
      <c r="X137" s="327"/>
      <c r="Y137" s="327"/>
      <c r="Z137" s="327"/>
      <c r="AA137" s="327"/>
      <c r="AB137" s="327"/>
      <c r="AC137" s="327"/>
      <c r="AD137" s="327"/>
    </row>
    <row r="138" ht="23.25" customHeight="1">
      <c r="A138" s="327"/>
      <c r="B138" s="327"/>
      <c r="C138" s="327"/>
      <c r="D138" s="327"/>
      <c r="E138" s="327"/>
      <c r="F138" s="327"/>
      <c r="G138" s="327"/>
      <c r="H138" s="327"/>
      <c r="I138" s="327"/>
      <c r="J138" s="327"/>
      <c r="K138" s="327"/>
      <c r="L138" s="327"/>
      <c r="M138" s="327"/>
      <c r="N138" s="327"/>
      <c r="O138" s="327"/>
      <c r="P138" s="327"/>
      <c r="Q138" s="327"/>
      <c r="R138" s="327"/>
      <c r="S138" s="327"/>
      <c r="T138" s="327"/>
      <c r="U138" s="327"/>
      <c r="V138" s="327"/>
      <c r="W138" s="327"/>
      <c r="X138" s="327"/>
      <c r="Y138" s="327"/>
      <c r="Z138" s="327"/>
      <c r="AA138" s="327"/>
      <c r="AB138" s="327"/>
      <c r="AC138" s="327"/>
      <c r="AD138" s="327"/>
    </row>
    <row r="139" ht="23.25" customHeight="1">
      <c r="A139" s="327"/>
      <c r="B139" s="327"/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</row>
    <row r="140" ht="23.25" customHeight="1">
      <c r="A140" s="327"/>
      <c r="B140" s="327"/>
      <c r="C140" s="327"/>
      <c r="D140" s="327"/>
      <c r="E140" s="327"/>
      <c r="F140" s="327"/>
      <c r="G140" s="327"/>
      <c r="H140" s="327"/>
      <c r="I140" s="327"/>
      <c r="J140" s="327"/>
      <c r="K140" s="327"/>
      <c r="L140" s="327"/>
      <c r="M140" s="327"/>
      <c r="N140" s="327"/>
      <c r="O140" s="327"/>
      <c r="P140" s="327"/>
      <c r="Q140" s="327"/>
      <c r="R140" s="327"/>
      <c r="S140" s="327"/>
      <c r="T140" s="327"/>
      <c r="U140" s="327"/>
      <c r="V140" s="327"/>
      <c r="W140" s="327"/>
      <c r="X140" s="327"/>
      <c r="Y140" s="327"/>
      <c r="Z140" s="327"/>
      <c r="AA140" s="327"/>
      <c r="AB140" s="327"/>
      <c r="AC140" s="327"/>
      <c r="AD140" s="327"/>
    </row>
    <row r="141" ht="23.25" customHeight="1">
      <c r="A141" s="327"/>
      <c r="B141" s="327"/>
      <c r="C141" s="327"/>
      <c r="D141" s="327"/>
      <c r="E141" s="327"/>
      <c r="F141" s="327"/>
      <c r="G141" s="327"/>
      <c r="H141" s="327"/>
      <c r="I141" s="327"/>
      <c r="J141" s="327"/>
      <c r="K141" s="327"/>
      <c r="L141" s="327"/>
      <c r="M141" s="327"/>
      <c r="N141" s="327"/>
      <c r="O141" s="327"/>
      <c r="P141" s="327"/>
      <c r="Q141" s="327"/>
      <c r="R141" s="327"/>
      <c r="S141" s="327"/>
      <c r="T141" s="327"/>
      <c r="U141" s="327"/>
      <c r="V141" s="327"/>
      <c r="W141" s="327"/>
      <c r="X141" s="327"/>
      <c r="Y141" s="327"/>
      <c r="Z141" s="327"/>
      <c r="AA141" s="327"/>
      <c r="AB141" s="327"/>
      <c r="AC141" s="327"/>
      <c r="AD141" s="327"/>
    </row>
    <row r="142" ht="23.25" customHeight="1">
      <c r="A142" s="327"/>
      <c r="B142" s="327"/>
      <c r="C142" s="327"/>
      <c r="D142" s="327"/>
      <c r="E142" s="327"/>
      <c r="F142" s="327"/>
      <c r="G142" s="327"/>
      <c r="H142" s="327"/>
      <c r="I142" s="327"/>
      <c r="J142" s="327"/>
      <c r="K142" s="327"/>
      <c r="L142" s="327"/>
      <c r="M142" s="327"/>
      <c r="N142" s="327"/>
      <c r="O142" s="327"/>
      <c r="P142" s="327"/>
      <c r="Q142" s="327"/>
      <c r="R142" s="327"/>
      <c r="S142" s="327"/>
      <c r="T142" s="327"/>
      <c r="U142" s="327"/>
      <c r="V142" s="327"/>
      <c r="W142" s="327"/>
      <c r="X142" s="327"/>
      <c r="Y142" s="327"/>
      <c r="Z142" s="327"/>
      <c r="AA142" s="327"/>
      <c r="AB142" s="327"/>
      <c r="AC142" s="327"/>
      <c r="AD142" s="327"/>
    </row>
    <row r="143" ht="23.25" customHeight="1">
      <c r="A143" s="327"/>
      <c r="B143" s="327"/>
      <c r="C143" s="327"/>
      <c r="D143" s="327"/>
      <c r="E143" s="327"/>
      <c r="F143" s="327"/>
      <c r="G143" s="327"/>
      <c r="H143" s="327"/>
      <c r="I143" s="327"/>
      <c r="J143" s="327"/>
      <c r="K143" s="327"/>
      <c r="L143" s="327"/>
      <c r="M143" s="327"/>
      <c r="N143" s="327"/>
      <c r="O143" s="327"/>
      <c r="P143" s="327"/>
      <c r="Q143" s="327"/>
      <c r="R143" s="327"/>
      <c r="S143" s="327"/>
      <c r="T143" s="327"/>
      <c r="U143" s="327"/>
      <c r="V143" s="327"/>
      <c r="W143" s="327"/>
      <c r="X143" s="327"/>
      <c r="Y143" s="327"/>
      <c r="Z143" s="327"/>
      <c r="AA143" s="327"/>
      <c r="AB143" s="327"/>
      <c r="AC143" s="327"/>
      <c r="AD143" s="327"/>
    </row>
    <row r="144" ht="23.25" customHeight="1">
      <c r="A144" s="327"/>
      <c r="B144" s="327"/>
      <c r="C144" s="327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7"/>
      <c r="T144" s="327"/>
      <c r="U144" s="327"/>
      <c r="V144" s="327"/>
      <c r="W144" s="327"/>
      <c r="X144" s="327"/>
      <c r="Y144" s="327"/>
      <c r="Z144" s="327"/>
      <c r="AA144" s="327"/>
      <c r="AB144" s="327"/>
      <c r="AC144" s="327"/>
      <c r="AD144" s="327"/>
    </row>
    <row r="145" ht="23.25" customHeight="1">
      <c r="A145" s="327"/>
      <c r="B145" s="327"/>
      <c r="C145" s="327"/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7"/>
      <c r="P145" s="327"/>
      <c r="Q145" s="327"/>
      <c r="R145" s="327"/>
      <c r="S145" s="327"/>
      <c r="T145" s="327"/>
      <c r="U145" s="327"/>
      <c r="V145" s="327"/>
      <c r="W145" s="327"/>
      <c r="X145" s="327"/>
      <c r="Y145" s="327"/>
      <c r="Z145" s="327"/>
      <c r="AA145" s="327"/>
      <c r="AB145" s="327"/>
      <c r="AC145" s="327"/>
      <c r="AD145" s="327"/>
    </row>
    <row r="146" ht="23.25" customHeight="1">
      <c r="A146" s="327"/>
      <c r="B146" s="327"/>
      <c r="C146" s="327"/>
      <c r="D146" s="327"/>
      <c r="E146" s="327"/>
      <c r="F146" s="327"/>
      <c r="G146" s="327"/>
      <c r="H146" s="327"/>
      <c r="I146" s="327"/>
      <c r="J146" s="327"/>
      <c r="K146" s="327"/>
      <c r="L146" s="327"/>
      <c r="M146" s="327"/>
      <c r="N146" s="327"/>
      <c r="O146" s="327"/>
      <c r="P146" s="327"/>
      <c r="Q146" s="327"/>
      <c r="R146" s="327"/>
      <c r="S146" s="327"/>
      <c r="T146" s="327"/>
      <c r="U146" s="327"/>
      <c r="V146" s="327"/>
      <c r="W146" s="327"/>
      <c r="X146" s="327"/>
      <c r="Y146" s="327"/>
      <c r="Z146" s="327"/>
      <c r="AA146" s="327"/>
      <c r="AB146" s="327"/>
      <c r="AC146" s="327"/>
      <c r="AD146" s="327"/>
    </row>
    <row r="147" ht="23.25" customHeight="1">
      <c r="A147" s="327"/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ht="23.25" customHeight="1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ht="23.25" customHeight="1">
      <c r="A149" s="327"/>
      <c r="B149" s="327"/>
      <c r="C149" s="327"/>
      <c r="D149" s="327"/>
      <c r="E149" s="327"/>
      <c r="F149" s="327"/>
      <c r="G149" s="327"/>
      <c r="H149" s="327"/>
      <c r="I149" s="327"/>
      <c r="J149" s="327"/>
      <c r="K149" s="327"/>
      <c r="L149" s="327"/>
      <c r="M149" s="327"/>
      <c r="N149" s="327"/>
      <c r="O149" s="327"/>
      <c r="P149" s="327"/>
      <c r="Q149" s="327"/>
      <c r="R149" s="327"/>
      <c r="S149" s="327"/>
      <c r="T149" s="327"/>
      <c r="U149" s="327"/>
      <c r="V149" s="327"/>
      <c r="W149" s="327"/>
      <c r="X149" s="327"/>
      <c r="Y149" s="327"/>
      <c r="Z149" s="327"/>
      <c r="AA149" s="327"/>
      <c r="AB149" s="327"/>
      <c r="AC149" s="327"/>
      <c r="AD149" s="327"/>
    </row>
    <row r="150" ht="23.25" customHeight="1">
      <c r="A150" s="327"/>
      <c r="B150" s="327"/>
      <c r="C150" s="32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  <c r="X150" s="327"/>
      <c r="Y150" s="327"/>
      <c r="Z150" s="327"/>
      <c r="AA150" s="327"/>
      <c r="AB150" s="327"/>
      <c r="AC150" s="327"/>
      <c r="AD150" s="327"/>
    </row>
    <row r="151" ht="23.25" customHeight="1">
      <c r="A151" s="327"/>
      <c r="B151" s="327"/>
      <c r="C151" s="327"/>
      <c r="D151" s="327"/>
      <c r="E151" s="327"/>
      <c r="F151" s="327"/>
      <c r="G151" s="327"/>
      <c r="H151" s="327"/>
      <c r="I151" s="327"/>
      <c r="J151" s="327"/>
      <c r="K151" s="327"/>
      <c r="L151" s="327"/>
      <c r="M151" s="327"/>
      <c r="N151" s="327"/>
      <c r="O151" s="327"/>
      <c r="P151" s="327"/>
      <c r="Q151" s="327"/>
      <c r="R151" s="327"/>
      <c r="S151" s="327"/>
      <c r="T151" s="327"/>
      <c r="U151" s="327"/>
      <c r="V151" s="327"/>
      <c r="W151" s="327"/>
      <c r="X151" s="327"/>
      <c r="Y151" s="327"/>
      <c r="Z151" s="327"/>
      <c r="AA151" s="327"/>
      <c r="AB151" s="327"/>
      <c r="AC151" s="327"/>
      <c r="AD151" s="327"/>
    </row>
    <row r="152" ht="23.25" customHeight="1">
      <c r="A152" s="327"/>
      <c r="B152" s="327"/>
      <c r="C152" s="327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7"/>
      <c r="T152" s="327"/>
      <c r="U152" s="327"/>
      <c r="V152" s="327"/>
      <c r="W152" s="327"/>
      <c r="X152" s="327"/>
      <c r="Y152" s="327"/>
      <c r="Z152" s="327"/>
      <c r="AA152" s="327"/>
      <c r="AB152" s="327"/>
      <c r="AC152" s="327"/>
      <c r="AD152" s="327"/>
    </row>
    <row r="153" ht="23.25" customHeight="1">
      <c r="A153" s="327"/>
      <c r="B153" s="327"/>
      <c r="C153" s="327"/>
      <c r="D153" s="327"/>
      <c r="E153" s="327"/>
      <c r="F153" s="327"/>
      <c r="G153" s="327"/>
      <c r="H153" s="327"/>
      <c r="I153" s="327"/>
      <c r="J153" s="327"/>
      <c r="K153" s="327"/>
      <c r="L153" s="327"/>
      <c r="M153" s="327"/>
      <c r="N153" s="327"/>
      <c r="O153" s="327"/>
      <c r="P153" s="327"/>
      <c r="Q153" s="327"/>
      <c r="R153" s="327"/>
      <c r="S153" s="327"/>
      <c r="T153" s="327"/>
      <c r="U153" s="327"/>
      <c r="V153" s="327"/>
      <c r="W153" s="327"/>
      <c r="X153" s="327"/>
      <c r="Y153" s="327"/>
      <c r="Z153" s="327"/>
      <c r="AA153" s="327"/>
      <c r="AB153" s="327"/>
      <c r="AC153" s="327"/>
      <c r="AD153" s="327"/>
    </row>
    <row r="154" ht="23.25" customHeight="1">
      <c r="A154" s="327"/>
      <c r="B154" s="327"/>
      <c r="C154" s="327"/>
      <c r="D154" s="327"/>
      <c r="E154" s="327"/>
      <c r="F154" s="327"/>
      <c r="G154" s="327"/>
      <c r="H154" s="327"/>
      <c r="I154" s="327"/>
      <c r="J154" s="327"/>
      <c r="K154" s="327"/>
      <c r="L154" s="327"/>
      <c r="M154" s="327"/>
      <c r="N154" s="327"/>
      <c r="O154" s="327"/>
      <c r="P154" s="327"/>
      <c r="Q154" s="327"/>
      <c r="R154" s="327"/>
      <c r="S154" s="327"/>
      <c r="T154" s="327"/>
      <c r="U154" s="327"/>
      <c r="V154" s="327"/>
      <c r="W154" s="327"/>
      <c r="X154" s="327"/>
      <c r="Y154" s="327"/>
      <c r="Z154" s="327"/>
      <c r="AA154" s="327"/>
      <c r="AB154" s="327"/>
      <c r="AC154" s="327"/>
      <c r="AD154" s="327"/>
    </row>
    <row r="155" ht="23.25" customHeight="1">
      <c r="A155" s="327"/>
      <c r="B155" s="327"/>
      <c r="C155" s="327"/>
      <c r="D155" s="327"/>
      <c r="E155" s="327"/>
      <c r="F155" s="327"/>
      <c r="G155" s="327"/>
      <c r="H155" s="327"/>
      <c r="I155" s="327"/>
      <c r="J155" s="327"/>
      <c r="K155" s="327"/>
      <c r="L155" s="327"/>
      <c r="M155" s="327"/>
      <c r="N155" s="327"/>
      <c r="O155" s="327"/>
      <c r="P155" s="327"/>
      <c r="Q155" s="327"/>
      <c r="R155" s="327"/>
      <c r="S155" s="327"/>
      <c r="T155" s="327"/>
      <c r="U155" s="327"/>
      <c r="V155" s="327"/>
      <c r="W155" s="327"/>
      <c r="X155" s="327"/>
      <c r="Y155" s="327"/>
      <c r="Z155" s="327"/>
      <c r="AA155" s="327"/>
      <c r="AB155" s="327"/>
      <c r="AC155" s="327"/>
      <c r="AD155" s="327"/>
    </row>
    <row r="156" ht="23.25" customHeight="1">
      <c r="A156" s="327"/>
      <c r="B156" s="327"/>
      <c r="C156" s="327"/>
      <c r="D156" s="327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7"/>
      <c r="P156" s="327"/>
      <c r="Q156" s="327"/>
      <c r="R156" s="327"/>
      <c r="S156" s="327"/>
      <c r="T156" s="327"/>
      <c r="U156" s="327"/>
      <c r="V156" s="327"/>
      <c r="W156" s="327"/>
      <c r="X156" s="327"/>
      <c r="Y156" s="327"/>
      <c r="Z156" s="327"/>
      <c r="AA156" s="327"/>
      <c r="AB156" s="327"/>
      <c r="AC156" s="327"/>
      <c r="AD156" s="327"/>
    </row>
    <row r="157" ht="23.25" customHeight="1">
      <c r="A157" s="327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327"/>
      <c r="M157" s="327"/>
      <c r="N157" s="327"/>
      <c r="O157" s="327"/>
      <c r="P157" s="327"/>
      <c r="Q157" s="327"/>
      <c r="R157" s="327"/>
      <c r="S157" s="327"/>
      <c r="T157" s="327"/>
      <c r="U157" s="327"/>
      <c r="V157" s="327"/>
      <c r="W157" s="327"/>
      <c r="X157" s="327"/>
      <c r="Y157" s="327"/>
      <c r="Z157" s="327"/>
      <c r="AA157" s="327"/>
      <c r="AB157" s="327"/>
      <c r="AC157" s="327"/>
      <c r="AD157" s="327"/>
    </row>
    <row r="158" ht="23.25" customHeight="1">
      <c r="A158" s="327"/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327"/>
      <c r="M158" s="327"/>
      <c r="N158" s="327"/>
      <c r="O158" s="327"/>
      <c r="P158" s="327"/>
      <c r="Q158" s="327"/>
      <c r="R158" s="327"/>
      <c r="S158" s="327"/>
      <c r="T158" s="327"/>
      <c r="U158" s="327"/>
      <c r="V158" s="327"/>
      <c r="W158" s="327"/>
      <c r="X158" s="327"/>
      <c r="Y158" s="327"/>
      <c r="Z158" s="327"/>
      <c r="AA158" s="327"/>
      <c r="AB158" s="327"/>
      <c r="AC158" s="327"/>
      <c r="AD158" s="327"/>
    </row>
    <row r="159" ht="23.25" customHeight="1">
      <c r="A159" s="327"/>
      <c r="B159" s="327"/>
      <c r="C159" s="327"/>
      <c r="D159" s="327"/>
      <c r="E159" s="327"/>
      <c r="F159" s="327"/>
      <c r="G159" s="327"/>
      <c r="H159" s="327"/>
      <c r="I159" s="327"/>
      <c r="J159" s="327"/>
      <c r="K159" s="327"/>
      <c r="L159" s="327"/>
      <c r="M159" s="327"/>
      <c r="N159" s="327"/>
      <c r="O159" s="327"/>
      <c r="P159" s="327"/>
      <c r="Q159" s="327"/>
      <c r="R159" s="327"/>
      <c r="S159" s="327"/>
      <c r="T159" s="327"/>
      <c r="U159" s="327"/>
      <c r="V159" s="327"/>
      <c r="W159" s="327"/>
      <c r="X159" s="327"/>
      <c r="Y159" s="327"/>
      <c r="Z159" s="327"/>
      <c r="AA159" s="327"/>
      <c r="AB159" s="327"/>
      <c r="AC159" s="327"/>
      <c r="AD159" s="327"/>
    </row>
    <row r="160" ht="23.25" customHeight="1">
      <c r="A160" s="327"/>
      <c r="B160" s="327"/>
      <c r="C160" s="327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7"/>
      <c r="T160" s="327"/>
      <c r="U160" s="327"/>
      <c r="V160" s="327"/>
      <c r="W160" s="327"/>
      <c r="X160" s="327"/>
      <c r="Y160" s="327"/>
      <c r="Z160" s="327"/>
      <c r="AA160" s="327"/>
      <c r="AB160" s="327"/>
      <c r="AC160" s="327"/>
      <c r="AD160" s="327"/>
    </row>
    <row r="161" ht="23.25" customHeight="1">
      <c r="A161" s="327"/>
      <c r="B161" s="327"/>
      <c r="C161" s="327"/>
      <c r="D161" s="327"/>
      <c r="E161" s="327"/>
      <c r="F161" s="327"/>
      <c r="G161" s="327"/>
      <c r="H161" s="327"/>
      <c r="I161" s="327"/>
      <c r="J161" s="327"/>
      <c r="K161" s="327"/>
      <c r="L161" s="327"/>
      <c r="M161" s="327"/>
      <c r="N161" s="327"/>
      <c r="O161" s="327"/>
      <c r="P161" s="327"/>
      <c r="Q161" s="327"/>
      <c r="R161" s="327"/>
      <c r="S161" s="327"/>
      <c r="T161" s="327"/>
      <c r="U161" s="327"/>
      <c r="V161" s="327"/>
      <c r="W161" s="327"/>
      <c r="X161" s="327"/>
      <c r="Y161" s="327"/>
      <c r="Z161" s="327"/>
      <c r="AA161" s="327"/>
      <c r="AB161" s="327"/>
      <c r="AC161" s="327"/>
      <c r="AD161" s="327"/>
    </row>
    <row r="162" ht="23.25" customHeight="1">
      <c r="A162" s="327"/>
      <c r="B162" s="327"/>
      <c r="C162" s="327"/>
      <c r="D162" s="327"/>
      <c r="E162" s="327"/>
      <c r="F162" s="327"/>
      <c r="G162" s="327"/>
      <c r="H162" s="327"/>
      <c r="I162" s="327"/>
      <c r="J162" s="327"/>
      <c r="K162" s="327"/>
      <c r="L162" s="327"/>
      <c r="M162" s="327"/>
      <c r="N162" s="327"/>
      <c r="O162" s="327"/>
      <c r="P162" s="327"/>
      <c r="Q162" s="327"/>
      <c r="R162" s="327"/>
      <c r="S162" s="327"/>
      <c r="T162" s="327"/>
      <c r="U162" s="327"/>
      <c r="V162" s="327"/>
      <c r="W162" s="327"/>
      <c r="X162" s="327"/>
      <c r="Y162" s="327"/>
      <c r="Z162" s="327"/>
      <c r="AA162" s="327"/>
      <c r="AB162" s="327"/>
      <c r="AC162" s="327"/>
      <c r="AD162" s="327"/>
    </row>
    <row r="163" ht="23.25" customHeight="1">
      <c r="A163" s="327"/>
      <c r="B163" s="327"/>
      <c r="C163" s="327"/>
      <c r="D163" s="327"/>
      <c r="E163" s="327"/>
      <c r="F163" s="327"/>
      <c r="G163" s="327"/>
      <c r="H163" s="327"/>
      <c r="I163" s="327"/>
      <c r="J163" s="327"/>
      <c r="K163" s="327"/>
      <c r="L163" s="327"/>
      <c r="M163" s="327"/>
      <c r="N163" s="327"/>
      <c r="O163" s="327"/>
      <c r="P163" s="327"/>
      <c r="Q163" s="327"/>
      <c r="R163" s="327"/>
      <c r="S163" s="327"/>
      <c r="T163" s="327"/>
      <c r="U163" s="327"/>
      <c r="V163" s="327"/>
      <c r="W163" s="327"/>
      <c r="X163" s="327"/>
      <c r="Y163" s="327"/>
      <c r="Z163" s="327"/>
      <c r="AA163" s="327"/>
      <c r="AB163" s="327"/>
      <c r="AC163" s="327"/>
      <c r="AD163" s="327"/>
    </row>
    <row r="164" ht="23.25" customHeight="1">
      <c r="A164" s="327"/>
      <c r="B164" s="327"/>
      <c r="C164" s="327"/>
      <c r="D164" s="327"/>
      <c r="E164" s="327"/>
      <c r="F164" s="327"/>
      <c r="G164" s="327"/>
      <c r="H164" s="327"/>
      <c r="I164" s="327"/>
      <c r="J164" s="327"/>
      <c r="K164" s="327"/>
      <c r="L164" s="327"/>
      <c r="M164" s="327"/>
      <c r="N164" s="327"/>
      <c r="O164" s="327"/>
      <c r="P164" s="327"/>
      <c r="Q164" s="327"/>
      <c r="R164" s="327"/>
      <c r="S164" s="327"/>
      <c r="T164" s="327"/>
      <c r="U164" s="327"/>
      <c r="V164" s="327"/>
      <c r="W164" s="327"/>
      <c r="X164" s="327"/>
      <c r="Y164" s="327"/>
      <c r="Z164" s="327"/>
      <c r="AA164" s="327"/>
      <c r="AB164" s="327"/>
      <c r="AC164" s="327"/>
      <c r="AD164" s="327"/>
    </row>
    <row r="165" ht="23.25" customHeight="1">
      <c r="A165" s="327"/>
      <c r="B165" s="327"/>
      <c r="C165" s="327"/>
      <c r="D165" s="327"/>
      <c r="E165" s="327"/>
      <c r="F165" s="327"/>
      <c r="G165" s="327"/>
      <c r="H165" s="327"/>
      <c r="I165" s="327"/>
      <c r="J165" s="327"/>
      <c r="K165" s="327"/>
      <c r="L165" s="327"/>
      <c r="M165" s="327"/>
      <c r="N165" s="327"/>
      <c r="O165" s="327"/>
      <c r="P165" s="327"/>
      <c r="Q165" s="327"/>
      <c r="R165" s="327"/>
      <c r="S165" s="327"/>
      <c r="T165" s="327"/>
      <c r="U165" s="327"/>
      <c r="V165" s="327"/>
      <c r="W165" s="327"/>
      <c r="X165" s="327"/>
      <c r="Y165" s="327"/>
      <c r="Z165" s="327"/>
      <c r="AA165" s="327"/>
      <c r="AB165" s="327"/>
      <c r="AC165" s="327"/>
      <c r="AD165" s="327"/>
    </row>
    <row r="166" ht="23.25" customHeight="1">
      <c r="A166" s="327"/>
      <c r="B166" s="327"/>
      <c r="C166" s="327"/>
      <c r="D166" s="327"/>
      <c r="E166" s="327"/>
      <c r="F166" s="327"/>
      <c r="G166" s="327"/>
      <c r="H166" s="327"/>
      <c r="I166" s="327"/>
      <c r="J166" s="327"/>
      <c r="K166" s="327"/>
      <c r="L166" s="327"/>
      <c r="M166" s="327"/>
      <c r="N166" s="327"/>
      <c r="O166" s="327"/>
      <c r="P166" s="327"/>
      <c r="Q166" s="327"/>
      <c r="R166" s="327"/>
      <c r="S166" s="327"/>
      <c r="T166" s="327"/>
      <c r="U166" s="327"/>
      <c r="V166" s="327"/>
      <c r="W166" s="327"/>
      <c r="X166" s="327"/>
      <c r="Y166" s="327"/>
      <c r="Z166" s="327"/>
      <c r="AA166" s="327"/>
      <c r="AB166" s="327"/>
      <c r="AC166" s="327"/>
      <c r="AD166" s="327"/>
    </row>
    <row r="167" ht="23.25" customHeight="1">
      <c r="A167" s="327"/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327"/>
      <c r="M167" s="327"/>
      <c r="N167" s="327"/>
      <c r="O167" s="327"/>
      <c r="P167" s="327"/>
      <c r="Q167" s="327"/>
      <c r="R167" s="327"/>
      <c r="S167" s="327"/>
      <c r="T167" s="327"/>
      <c r="U167" s="327"/>
      <c r="V167" s="327"/>
      <c r="W167" s="327"/>
      <c r="X167" s="327"/>
      <c r="Y167" s="327"/>
      <c r="Z167" s="327"/>
      <c r="AA167" s="327"/>
      <c r="AB167" s="327"/>
      <c r="AC167" s="327"/>
      <c r="AD167" s="327"/>
    </row>
    <row r="168" ht="23.25" customHeight="1">
      <c r="A168" s="327"/>
      <c r="B168" s="327"/>
      <c r="C168" s="327"/>
      <c r="D168" s="327"/>
      <c r="E168" s="327"/>
      <c r="F168" s="327"/>
      <c r="G168" s="327"/>
      <c r="H168" s="327"/>
      <c r="I168" s="327"/>
      <c r="J168" s="327"/>
      <c r="K168" s="327"/>
      <c r="L168" s="327"/>
      <c r="M168" s="327"/>
      <c r="N168" s="327"/>
      <c r="O168" s="327"/>
      <c r="P168" s="327"/>
      <c r="Q168" s="327"/>
      <c r="R168" s="327"/>
      <c r="S168" s="327"/>
      <c r="T168" s="327"/>
      <c r="U168" s="327"/>
      <c r="V168" s="327"/>
      <c r="W168" s="327"/>
      <c r="X168" s="327"/>
      <c r="Y168" s="327"/>
      <c r="Z168" s="327"/>
      <c r="AA168" s="327"/>
      <c r="AB168" s="327"/>
      <c r="AC168" s="327"/>
      <c r="AD168" s="327"/>
    </row>
    <row r="169" ht="23.25" customHeight="1">
      <c r="A169" s="327"/>
      <c r="B169" s="327"/>
      <c r="C169" s="327"/>
      <c r="D169" s="327"/>
      <c r="E169" s="327"/>
      <c r="F169" s="327"/>
      <c r="G169" s="327"/>
      <c r="H169" s="327"/>
      <c r="I169" s="327"/>
      <c r="J169" s="327"/>
      <c r="K169" s="327"/>
      <c r="L169" s="327"/>
      <c r="M169" s="327"/>
      <c r="N169" s="327"/>
      <c r="O169" s="327"/>
      <c r="P169" s="327"/>
      <c r="Q169" s="327"/>
      <c r="R169" s="327"/>
      <c r="S169" s="327"/>
      <c r="T169" s="327"/>
      <c r="U169" s="327"/>
      <c r="V169" s="327"/>
      <c r="W169" s="327"/>
      <c r="X169" s="327"/>
      <c r="Y169" s="327"/>
      <c r="Z169" s="327"/>
      <c r="AA169" s="327"/>
      <c r="AB169" s="327"/>
      <c r="AC169" s="327"/>
      <c r="AD169" s="327"/>
    </row>
    <row r="170" ht="23.25" customHeight="1">
      <c r="A170" s="327"/>
      <c r="B170" s="327"/>
      <c r="C170" s="327"/>
      <c r="D170" s="327"/>
      <c r="E170" s="327"/>
      <c r="F170" s="327"/>
      <c r="G170" s="327"/>
      <c r="H170" s="327"/>
      <c r="I170" s="327"/>
      <c r="J170" s="327"/>
      <c r="K170" s="327"/>
      <c r="L170" s="327"/>
      <c r="M170" s="327"/>
      <c r="N170" s="327"/>
      <c r="O170" s="327"/>
      <c r="P170" s="327"/>
      <c r="Q170" s="327"/>
      <c r="R170" s="327"/>
      <c r="S170" s="327"/>
      <c r="T170" s="327"/>
      <c r="U170" s="327"/>
      <c r="V170" s="327"/>
      <c r="W170" s="327"/>
      <c r="X170" s="327"/>
      <c r="Y170" s="327"/>
      <c r="Z170" s="327"/>
      <c r="AA170" s="327"/>
      <c r="AB170" s="327"/>
      <c r="AC170" s="327"/>
      <c r="AD170" s="327"/>
    </row>
    <row r="171" ht="23.25" customHeight="1">
      <c r="A171" s="327"/>
      <c r="B171" s="327"/>
      <c r="C171" s="327"/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327"/>
      <c r="O171" s="327"/>
      <c r="P171" s="327"/>
      <c r="Q171" s="327"/>
      <c r="R171" s="327"/>
      <c r="S171" s="327"/>
      <c r="T171" s="327"/>
      <c r="U171" s="327"/>
      <c r="V171" s="327"/>
      <c r="W171" s="327"/>
      <c r="X171" s="327"/>
      <c r="Y171" s="327"/>
      <c r="Z171" s="327"/>
      <c r="AA171" s="327"/>
      <c r="AB171" s="327"/>
      <c r="AC171" s="327"/>
      <c r="AD171" s="327"/>
    </row>
    <row r="172" ht="23.25" customHeight="1">
      <c r="A172" s="327"/>
      <c r="B172" s="327"/>
      <c r="C172" s="327"/>
      <c r="D172" s="327"/>
      <c r="E172" s="327"/>
      <c r="F172" s="327"/>
      <c r="G172" s="327"/>
      <c r="H172" s="327"/>
      <c r="I172" s="327"/>
      <c r="J172" s="327"/>
      <c r="K172" s="327"/>
      <c r="L172" s="327"/>
      <c r="M172" s="327"/>
      <c r="N172" s="327"/>
      <c r="O172" s="327"/>
      <c r="P172" s="327"/>
      <c r="Q172" s="327"/>
      <c r="R172" s="327"/>
      <c r="S172" s="327"/>
      <c r="T172" s="327"/>
      <c r="U172" s="327"/>
      <c r="V172" s="327"/>
      <c r="W172" s="327"/>
      <c r="X172" s="327"/>
      <c r="Y172" s="327"/>
      <c r="Z172" s="327"/>
      <c r="AA172" s="327"/>
      <c r="AB172" s="327"/>
      <c r="AC172" s="327"/>
      <c r="AD172" s="327"/>
    </row>
    <row r="173" ht="23.25" customHeight="1">
      <c r="A173" s="327"/>
      <c r="B173" s="327"/>
      <c r="C173" s="327"/>
      <c r="D173" s="327"/>
      <c r="E173" s="327"/>
      <c r="F173" s="327"/>
      <c r="G173" s="327"/>
      <c r="H173" s="327"/>
      <c r="I173" s="327"/>
      <c r="J173" s="327"/>
      <c r="K173" s="327"/>
      <c r="L173" s="327"/>
      <c r="M173" s="327"/>
      <c r="N173" s="327"/>
      <c r="O173" s="327"/>
      <c r="P173" s="327"/>
      <c r="Q173" s="327"/>
      <c r="R173" s="327"/>
      <c r="S173" s="327"/>
      <c r="T173" s="327"/>
      <c r="U173" s="327"/>
      <c r="V173" s="327"/>
      <c r="W173" s="327"/>
      <c r="X173" s="327"/>
      <c r="Y173" s="327"/>
      <c r="Z173" s="327"/>
      <c r="AA173" s="327"/>
      <c r="AB173" s="327"/>
      <c r="AC173" s="327"/>
      <c r="AD173" s="327"/>
    </row>
    <row r="174" ht="23.25" customHeight="1">
      <c r="A174" s="327"/>
      <c r="B174" s="327"/>
      <c r="C174" s="327"/>
      <c r="D174" s="327"/>
      <c r="E174" s="327"/>
      <c r="F174" s="327"/>
      <c r="G174" s="327"/>
      <c r="H174" s="327"/>
      <c r="I174" s="327"/>
      <c r="J174" s="327"/>
      <c r="K174" s="327"/>
      <c r="L174" s="327"/>
      <c r="M174" s="327"/>
      <c r="N174" s="327"/>
      <c r="O174" s="327"/>
      <c r="P174" s="327"/>
      <c r="Q174" s="327"/>
      <c r="R174" s="327"/>
      <c r="S174" s="327"/>
      <c r="T174" s="327"/>
      <c r="U174" s="327"/>
      <c r="V174" s="327"/>
      <c r="W174" s="327"/>
      <c r="X174" s="327"/>
      <c r="Y174" s="327"/>
      <c r="Z174" s="327"/>
      <c r="AA174" s="327"/>
      <c r="AB174" s="327"/>
      <c r="AC174" s="327"/>
      <c r="AD174" s="327"/>
    </row>
    <row r="175" ht="23.25" customHeight="1">
      <c r="A175" s="327"/>
      <c r="B175" s="327"/>
      <c r="C175" s="327"/>
      <c r="D175" s="327"/>
      <c r="E175" s="327"/>
      <c r="F175" s="327"/>
      <c r="G175" s="327"/>
      <c r="H175" s="327"/>
      <c r="I175" s="327"/>
      <c r="J175" s="327"/>
      <c r="K175" s="327"/>
      <c r="L175" s="327"/>
      <c r="M175" s="327"/>
      <c r="N175" s="327"/>
      <c r="O175" s="327"/>
      <c r="P175" s="327"/>
      <c r="Q175" s="327"/>
      <c r="R175" s="327"/>
      <c r="S175" s="327"/>
      <c r="T175" s="327"/>
      <c r="U175" s="327"/>
      <c r="V175" s="327"/>
      <c r="W175" s="327"/>
      <c r="X175" s="327"/>
      <c r="Y175" s="327"/>
      <c r="Z175" s="327"/>
      <c r="AA175" s="327"/>
      <c r="AB175" s="327"/>
      <c r="AC175" s="327"/>
      <c r="AD175" s="327"/>
    </row>
    <row r="176" ht="23.25" customHeight="1">
      <c r="A176" s="327"/>
      <c r="B176" s="327"/>
      <c r="C176" s="327"/>
      <c r="D176" s="327"/>
      <c r="E176" s="327"/>
      <c r="F176" s="327"/>
      <c r="G176" s="327"/>
      <c r="H176" s="327"/>
      <c r="I176" s="327"/>
      <c r="J176" s="327"/>
      <c r="K176" s="327"/>
      <c r="L176" s="327"/>
      <c r="M176" s="327"/>
      <c r="N176" s="327"/>
      <c r="O176" s="327"/>
      <c r="P176" s="327"/>
      <c r="Q176" s="327"/>
      <c r="R176" s="327"/>
      <c r="S176" s="327"/>
      <c r="T176" s="327"/>
      <c r="U176" s="327"/>
      <c r="V176" s="327"/>
      <c r="W176" s="327"/>
      <c r="X176" s="327"/>
      <c r="Y176" s="327"/>
      <c r="Z176" s="327"/>
      <c r="AA176" s="327"/>
      <c r="AB176" s="327"/>
      <c r="AC176" s="327"/>
      <c r="AD176" s="327"/>
    </row>
    <row r="177" ht="23.25" customHeight="1">
      <c r="A177" s="327"/>
      <c r="B177" s="327"/>
      <c r="C177" s="327"/>
      <c r="D177" s="327"/>
      <c r="E177" s="327"/>
      <c r="F177" s="327"/>
      <c r="G177" s="327"/>
      <c r="H177" s="327"/>
      <c r="I177" s="327"/>
      <c r="J177" s="327"/>
      <c r="K177" s="327"/>
      <c r="L177" s="327"/>
      <c r="M177" s="327"/>
      <c r="N177" s="327"/>
      <c r="O177" s="327"/>
      <c r="P177" s="327"/>
      <c r="Q177" s="327"/>
      <c r="R177" s="327"/>
      <c r="S177" s="327"/>
      <c r="T177" s="327"/>
      <c r="U177" s="327"/>
      <c r="V177" s="327"/>
      <c r="W177" s="327"/>
      <c r="X177" s="327"/>
      <c r="Y177" s="327"/>
      <c r="Z177" s="327"/>
      <c r="AA177" s="327"/>
      <c r="AB177" s="327"/>
      <c r="AC177" s="327"/>
      <c r="AD177" s="327"/>
    </row>
    <row r="178" ht="23.25" customHeight="1">
      <c r="A178" s="327"/>
      <c r="B178" s="327"/>
      <c r="C178" s="327"/>
      <c r="D178" s="327"/>
      <c r="E178" s="327"/>
      <c r="F178" s="327"/>
      <c r="G178" s="327"/>
      <c r="H178" s="327"/>
      <c r="I178" s="327"/>
      <c r="J178" s="327"/>
      <c r="K178" s="327"/>
      <c r="L178" s="327"/>
      <c r="M178" s="327"/>
      <c r="N178" s="327"/>
      <c r="O178" s="327"/>
      <c r="P178" s="327"/>
      <c r="Q178" s="327"/>
      <c r="R178" s="327"/>
      <c r="S178" s="327"/>
      <c r="T178" s="327"/>
      <c r="U178" s="327"/>
      <c r="V178" s="327"/>
      <c r="W178" s="327"/>
      <c r="X178" s="327"/>
      <c r="Y178" s="327"/>
      <c r="Z178" s="327"/>
      <c r="AA178" s="327"/>
      <c r="AB178" s="327"/>
      <c r="AC178" s="327"/>
      <c r="AD178" s="327"/>
    </row>
    <row r="179" ht="23.25" customHeight="1">
      <c r="A179" s="327"/>
      <c r="B179" s="327"/>
      <c r="C179" s="327"/>
      <c r="D179" s="327"/>
      <c r="E179" s="327"/>
      <c r="F179" s="327"/>
      <c r="G179" s="327"/>
      <c r="H179" s="327"/>
      <c r="I179" s="327"/>
      <c r="J179" s="327"/>
      <c r="K179" s="327"/>
      <c r="L179" s="327"/>
      <c r="M179" s="327"/>
      <c r="N179" s="327"/>
      <c r="O179" s="327"/>
      <c r="P179" s="327"/>
      <c r="Q179" s="327"/>
      <c r="R179" s="327"/>
      <c r="S179" s="327"/>
      <c r="T179" s="327"/>
      <c r="U179" s="327"/>
      <c r="V179" s="327"/>
      <c r="W179" s="327"/>
      <c r="X179" s="327"/>
      <c r="Y179" s="327"/>
      <c r="Z179" s="327"/>
      <c r="AA179" s="327"/>
      <c r="AB179" s="327"/>
      <c r="AC179" s="327"/>
      <c r="AD179" s="327"/>
    </row>
    <row r="180" ht="23.25" customHeight="1">
      <c r="A180" s="327"/>
      <c r="B180" s="327"/>
      <c r="C180" s="327"/>
      <c r="D180" s="327"/>
      <c r="E180" s="327"/>
      <c r="F180" s="327"/>
      <c r="G180" s="327"/>
      <c r="H180" s="327"/>
      <c r="I180" s="327"/>
      <c r="J180" s="327"/>
      <c r="K180" s="327"/>
      <c r="L180" s="327"/>
      <c r="M180" s="327"/>
      <c r="N180" s="327"/>
      <c r="O180" s="327"/>
      <c r="P180" s="327"/>
      <c r="Q180" s="327"/>
      <c r="R180" s="327"/>
      <c r="S180" s="327"/>
      <c r="T180" s="327"/>
      <c r="U180" s="327"/>
      <c r="V180" s="327"/>
      <c r="W180" s="327"/>
      <c r="X180" s="327"/>
      <c r="Y180" s="327"/>
      <c r="Z180" s="327"/>
      <c r="AA180" s="327"/>
      <c r="AB180" s="327"/>
      <c r="AC180" s="327"/>
      <c r="AD180" s="327"/>
    </row>
    <row r="181" ht="23.25" customHeight="1">
      <c r="A181" s="327"/>
      <c r="B181" s="327"/>
      <c r="C181" s="327"/>
      <c r="D181" s="327"/>
      <c r="E181" s="327"/>
      <c r="F181" s="327"/>
      <c r="G181" s="327"/>
      <c r="H181" s="327"/>
      <c r="I181" s="327"/>
      <c r="J181" s="327"/>
      <c r="K181" s="327"/>
      <c r="L181" s="327"/>
      <c r="M181" s="327"/>
      <c r="N181" s="327"/>
      <c r="O181" s="327"/>
      <c r="P181" s="327"/>
      <c r="Q181" s="327"/>
      <c r="R181" s="327"/>
      <c r="S181" s="327"/>
      <c r="T181" s="327"/>
      <c r="U181" s="327"/>
      <c r="V181" s="327"/>
      <c r="W181" s="327"/>
      <c r="X181" s="327"/>
      <c r="Y181" s="327"/>
      <c r="Z181" s="327"/>
      <c r="AA181" s="327"/>
      <c r="AB181" s="327"/>
      <c r="AC181" s="327"/>
      <c r="AD181" s="327"/>
    </row>
    <row r="182" ht="23.25" customHeight="1">
      <c r="A182" s="327"/>
      <c r="B182" s="327"/>
      <c r="C182" s="327"/>
      <c r="D182" s="327"/>
      <c r="E182" s="327"/>
      <c r="F182" s="327"/>
      <c r="G182" s="327"/>
      <c r="H182" s="327"/>
      <c r="I182" s="327"/>
      <c r="J182" s="327"/>
      <c r="K182" s="327"/>
      <c r="L182" s="327"/>
      <c r="M182" s="327"/>
      <c r="N182" s="327"/>
      <c r="O182" s="327"/>
      <c r="P182" s="327"/>
      <c r="Q182" s="327"/>
      <c r="R182" s="327"/>
      <c r="S182" s="327"/>
      <c r="T182" s="327"/>
      <c r="U182" s="327"/>
      <c r="V182" s="327"/>
      <c r="W182" s="327"/>
      <c r="X182" s="327"/>
      <c r="Y182" s="327"/>
      <c r="Z182" s="327"/>
      <c r="AA182" s="327"/>
      <c r="AB182" s="327"/>
      <c r="AC182" s="327"/>
      <c r="AD182" s="327"/>
    </row>
    <row r="183" ht="23.25" customHeight="1">
      <c r="A183" s="327"/>
      <c r="B183" s="327"/>
      <c r="C183" s="327"/>
      <c r="D183" s="327"/>
      <c r="E183" s="327"/>
      <c r="F183" s="327"/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ht="23.25" customHeight="1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ht="23.25" customHeight="1">
      <c r="A185" s="327"/>
      <c r="B185" s="327"/>
      <c r="C185" s="327"/>
      <c r="D185" s="327"/>
      <c r="E185" s="327"/>
      <c r="F185" s="327"/>
      <c r="G185" s="327"/>
      <c r="H185" s="327"/>
      <c r="I185" s="327"/>
      <c r="J185" s="327"/>
      <c r="K185" s="327"/>
      <c r="L185" s="327"/>
      <c r="M185" s="327"/>
      <c r="N185" s="327"/>
      <c r="O185" s="327"/>
      <c r="P185" s="327"/>
      <c r="Q185" s="327"/>
      <c r="R185" s="327"/>
      <c r="S185" s="327"/>
      <c r="T185" s="327"/>
      <c r="U185" s="327"/>
      <c r="V185" s="327"/>
      <c r="W185" s="327"/>
      <c r="X185" s="327"/>
      <c r="Y185" s="327"/>
      <c r="Z185" s="327"/>
      <c r="AA185" s="327"/>
      <c r="AB185" s="327"/>
      <c r="AC185" s="327"/>
      <c r="AD185" s="327"/>
    </row>
    <row r="186" ht="23.25" customHeight="1">
      <c r="A186" s="327"/>
      <c r="B186" s="327"/>
      <c r="C186" s="327"/>
      <c r="D186" s="327"/>
      <c r="E186" s="327"/>
      <c r="F186" s="327"/>
      <c r="G186" s="327"/>
      <c r="H186" s="327"/>
      <c r="I186" s="327"/>
      <c r="J186" s="327"/>
      <c r="K186" s="327"/>
      <c r="L186" s="327"/>
      <c r="M186" s="327"/>
      <c r="N186" s="327"/>
      <c r="O186" s="327"/>
      <c r="P186" s="327"/>
      <c r="Q186" s="327"/>
      <c r="R186" s="327"/>
      <c r="S186" s="327"/>
      <c r="T186" s="327"/>
      <c r="U186" s="327"/>
      <c r="V186" s="327"/>
      <c r="W186" s="327"/>
      <c r="X186" s="327"/>
      <c r="Y186" s="327"/>
      <c r="Z186" s="327"/>
      <c r="AA186" s="327"/>
      <c r="AB186" s="327"/>
      <c r="AC186" s="327"/>
      <c r="AD186" s="327"/>
    </row>
    <row r="187" ht="23.25" customHeight="1">
      <c r="A187" s="327"/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327"/>
      <c r="M187" s="327"/>
      <c r="N187" s="327"/>
      <c r="O187" s="327"/>
      <c r="P187" s="327"/>
      <c r="Q187" s="327"/>
      <c r="R187" s="327"/>
      <c r="S187" s="327"/>
      <c r="T187" s="327"/>
      <c r="U187" s="327"/>
      <c r="V187" s="327"/>
      <c r="W187" s="327"/>
      <c r="X187" s="327"/>
      <c r="Y187" s="327"/>
      <c r="Z187" s="327"/>
      <c r="AA187" s="327"/>
      <c r="AB187" s="327"/>
      <c r="AC187" s="327"/>
      <c r="AD187" s="327"/>
    </row>
    <row r="188" ht="23.25" customHeight="1">
      <c r="A188" s="327"/>
      <c r="B188" s="327"/>
      <c r="C188" s="327"/>
      <c r="D188" s="327"/>
      <c r="E188" s="327"/>
      <c r="F188" s="327"/>
      <c r="G188" s="327"/>
      <c r="H188" s="327"/>
      <c r="I188" s="327"/>
      <c r="J188" s="327"/>
      <c r="K188" s="327"/>
      <c r="L188" s="327"/>
      <c r="M188" s="327"/>
      <c r="N188" s="327"/>
      <c r="O188" s="327"/>
      <c r="P188" s="327"/>
      <c r="Q188" s="327"/>
      <c r="R188" s="327"/>
      <c r="S188" s="327"/>
      <c r="T188" s="327"/>
      <c r="U188" s="327"/>
      <c r="V188" s="327"/>
      <c r="W188" s="327"/>
      <c r="X188" s="327"/>
      <c r="Y188" s="327"/>
      <c r="Z188" s="327"/>
      <c r="AA188" s="327"/>
      <c r="AB188" s="327"/>
      <c r="AC188" s="327"/>
      <c r="AD188" s="327"/>
    </row>
    <row r="189" ht="23.25" customHeight="1">
      <c r="A189" s="327"/>
      <c r="B189" s="327"/>
      <c r="C189" s="327"/>
      <c r="D189" s="327"/>
      <c r="E189" s="327"/>
      <c r="F189" s="327"/>
      <c r="G189" s="327"/>
      <c r="H189" s="327"/>
      <c r="I189" s="327"/>
      <c r="J189" s="327"/>
      <c r="K189" s="327"/>
      <c r="L189" s="327"/>
      <c r="M189" s="327"/>
      <c r="N189" s="327"/>
      <c r="O189" s="327"/>
      <c r="P189" s="327"/>
      <c r="Q189" s="327"/>
      <c r="R189" s="327"/>
      <c r="S189" s="327"/>
      <c r="T189" s="327"/>
      <c r="U189" s="327"/>
      <c r="V189" s="327"/>
      <c r="W189" s="327"/>
      <c r="X189" s="327"/>
      <c r="Y189" s="327"/>
      <c r="Z189" s="327"/>
      <c r="AA189" s="327"/>
      <c r="AB189" s="327"/>
      <c r="AC189" s="327"/>
      <c r="AD189" s="327"/>
    </row>
    <row r="190" ht="23.25" customHeight="1">
      <c r="A190" s="327"/>
      <c r="B190" s="327"/>
      <c r="C190" s="327"/>
      <c r="D190" s="327"/>
      <c r="E190" s="327"/>
      <c r="F190" s="327"/>
      <c r="G190" s="327"/>
      <c r="H190" s="327"/>
      <c r="I190" s="327"/>
      <c r="J190" s="327"/>
      <c r="K190" s="327"/>
      <c r="L190" s="327"/>
      <c r="M190" s="327"/>
      <c r="N190" s="327"/>
      <c r="O190" s="327"/>
      <c r="P190" s="327"/>
      <c r="Q190" s="327"/>
      <c r="R190" s="327"/>
      <c r="S190" s="327"/>
      <c r="T190" s="327"/>
      <c r="U190" s="327"/>
      <c r="V190" s="327"/>
      <c r="W190" s="327"/>
      <c r="X190" s="327"/>
      <c r="Y190" s="327"/>
      <c r="Z190" s="327"/>
      <c r="AA190" s="327"/>
      <c r="AB190" s="327"/>
      <c r="AC190" s="327"/>
      <c r="AD190" s="327"/>
    </row>
    <row r="191" ht="23.25" customHeight="1">
      <c r="A191" s="327"/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327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</row>
    <row r="192" ht="23.25" customHeight="1">
      <c r="A192" s="327"/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327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</row>
    <row r="193" ht="23.25" customHeight="1">
      <c r="A193" s="327"/>
      <c r="B193" s="327"/>
      <c r="C193" s="327"/>
      <c r="D193" s="327"/>
      <c r="E193" s="327"/>
      <c r="F193" s="327"/>
      <c r="G193" s="327"/>
      <c r="H193" s="327"/>
      <c r="I193" s="327"/>
      <c r="J193" s="327"/>
      <c r="K193" s="327"/>
      <c r="L193" s="327"/>
      <c r="M193" s="327"/>
      <c r="N193" s="327"/>
      <c r="O193" s="327"/>
      <c r="P193" s="327"/>
      <c r="Q193" s="327"/>
      <c r="R193" s="327"/>
      <c r="S193" s="327"/>
      <c r="T193" s="327"/>
      <c r="U193" s="327"/>
      <c r="V193" s="327"/>
      <c r="W193" s="327"/>
      <c r="X193" s="327"/>
      <c r="Y193" s="327"/>
      <c r="Z193" s="327"/>
      <c r="AA193" s="327"/>
      <c r="AB193" s="327"/>
      <c r="AC193" s="327"/>
      <c r="AD193" s="327"/>
    </row>
    <row r="194" ht="23.25" customHeight="1">
      <c r="A194" s="327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327"/>
      <c r="M194" s="327"/>
      <c r="N194" s="327"/>
      <c r="O194" s="327"/>
      <c r="P194" s="327"/>
      <c r="Q194" s="327"/>
      <c r="R194" s="327"/>
      <c r="S194" s="327"/>
      <c r="T194" s="327"/>
      <c r="U194" s="327"/>
      <c r="V194" s="327"/>
      <c r="W194" s="327"/>
      <c r="X194" s="327"/>
      <c r="Y194" s="327"/>
      <c r="Z194" s="327"/>
      <c r="AA194" s="327"/>
      <c r="AB194" s="327"/>
      <c r="AC194" s="327"/>
      <c r="AD194" s="327"/>
    </row>
    <row r="195" ht="23.25" customHeight="1">
      <c r="A195" s="327"/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327"/>
      <c r="M195" s="327"/>
      <c r="N195" s="327"/>
      <c r="O195" s="327"/>
      <c r="P195" s="327"/>
      <c r="Q195" s="327"/>
      <c r="R195" s="327"/>
      <c r="S195" s="327"/>
      <c r="T195" s="327"/>
      <c r="U195" s="327"/>
      <c r="V195" s="327"/>
      <c r="W195" s="327"/>
      <c r="X195" s="327"/>
      <c r="Y195" s="327"/>
      <c r="Z195" s="327"/>
      <c r="AA195" s="327"/>
      <c r="AB195" s="327"/>
      <c r="AC195" s="327"/>
      <c r="AD195" s="327"/>
    </row>
    <row r="196" ht="23.25" customHeight="1">
      <c r="A196" s="327"/>
      <c r="B196" s="327"/>
      <c r="C196" s="327"/>
      <c r="D196" s="327"/>
      <c r="E196" s="327"/>
      <c r="F196" s="327"/>
      <c r="G196" s="327"/>
      <c r="H196" s="327"/>
      <c r="I196" s="327"/>
      <c r="J196" s="327"/>
      <c r="K196" s="327"/>
      <c r="L196" s="327"/>
      <c r="M196" s="327"/>
      <c r="N196" s="327"/>
      <c r="O196" s="327"/>
      <c r="P196" s="327"/>
      <c r="Q196" s="327"/>
      <c r="R196" s="327"/>
      <c r="S196" s="327"/>
      <c r="T196" s="327"/>
      <c r="U196" s="327"/>
      <c r="V196" s="327"/>
      <c r="W196" s="327"/>
      <c r="X196" s="327"/>
      <c r="Y196" s="327"/>
      <c r="Z196" s="327"/>
      <c r="AA196" s="327"/>
      <c r="AB196" s="327"/>
      <c r="AC196" s="327"/>
      <c r="AD196" s="327"/>
    </row>
    <row r="197" ht="23.25" customHeight="1">
      <c r="A197" s="327"/>
      <c r="B197" s="327"/>
      <c r="C197" s="327"/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327"/>
      <c r="O197" s="327"/>
      <c r="P197" s="327"/>
      <c r="Q197" s="327"/>
      <c r="R197" s="327"/>
      <c r="S197" s="327"/>
      <c r="T197" s="327"/>
      <c r="U197" s="327"/>
      <c r="V197" s="327"/>
      <c r="W197" s="327"/>
      <c r="X197" s="327"/>
      <c r="Y197" s="327"/>
      <c r="Z197" s="327"/>
      <c r="AA197" s="327"/>
      <c r="AB197" s="327"/>
      <c r="AC197" s="327"/>
      <c r="AD197" s="327"/>
    </row>
    <row r="198" ht="23.25" customHeight="1">
      <c r="A198" s="327"/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327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</row>
    <row r="199" ht="23.25" customHeight="1">
      <c r="A199" s="327"/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327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</row>
    <row r="200" ht="23.25" customHeight="1">
      <c r="A200" s="327"/>
      <c r="B200" s="327"/>
      <c r="C200" s="327"/>
      <c r="D200" s="327"/>
      <c r="E200" s="327"/>
      <c r="F200" s="327"/>
      <c r="G200" s="327"/>
      <c r="H200" s="327"/>
      <c r="I200" s="327"/>
      <c r="J200" s="327"/>
      <c r="K200" s="327"/>
      <c r="L200" s="327"/>
      <c r="M200" s="327"/>
      <c r="N200" s="327"/>
      <c r="O200" s="327"/>
      <c r="P200" s="327"/>
      <c r="Q200" s="327"/>
      <c r="R200" s="327"/>
      <c r="S200" s="327"/>
      <c r="T200" s="327"/>
      <c r="U200" s="327"/>
      <c r="V200" s="327"/>
      <c r="W200" s="327"/>
      <c r="X200" s="327"/>
      <c r="Y200" s="327"/>
      <c r="Z200" s="327"/>
      <c r="AA200" s="327"/>
      <c r="AB200" s="327"/>
      <c r="AC200" s="327"/>
      <c r="AD200" s="327"/>
    </row>
    <row r="201" ht="23.25" customHeight="1">
      <c r="A201" s="327"/>
      <c r="B201" s="327"/>
      <c r="C201" s="327"/>
      <c r="D201" s="327"/>
      <c r="E201" s="327"/>
      <c r="F201" s="327"/>
      <c r="G201" s="327"/>
      <c r="H201" s="327"/>
      <c r="I201" s="327"/>
      <c r="J201" s="327"/>
      <c r="K201" s="327"/>
      <c r="L201" s="327"/>
      <c r="M201" s="327"/>
      <c r="N201" s="327"/>
      <c r="O201" s="327"/>
      <c r="P201" s="327"/>
      <c r="Q201" s="327"/>
      <c r="R201" s="327"/>
      <c r="S201" s="327"/>
      <c r="T201" s="327"/>
      <c r="U201" s="327"/>
      <c r="V201" s="327"/>
      <c r="W201" s="327"/>
      <c r="X201" s="327"/>
      <c r="Y201" s="327"/>
      <c r="Z201" s="327"/>
      <c r="AA201" s="327"/>
      <c r="AB201" s="327"/>
      <c r="AC201" s="327"/>
      <c r="AD201" s="327"/>
    </row>
    <row r="202" ht="23.25" customHeight="1">
      <c r="A202" s="327"/>
      <c r="B202" s="327"/>
      <c r="C202" s="327"/>
      <c r="D202" s="327"/>
      <c r="E202" s="327"/>
      <c r="F202" s="327"/>
      <c r="G202" s="327"/>
      <c r="H202" s="327"/>
      <c r="I202" s="327"/>
      <c r="J202" s="327"/>
      <c r="K202" s="327"/>
      <c r="L202" s="327"/>
      <c r="M202" s="327"/>
      <c r="N202" s="327"/>
      <c r="O202" s="327"/>
      <c r="P202" s="327"/>
      <c r="Q202" s="327"/>
      <c r="R202" s="327"/>
      <c r="S202" s="327"/>
      <c r="T202" s="327"/>
      <c r="U202" s="327"/>
      <c r="V202" s="327"/>
      <c r="W202" s="327"/>
      <c r="X202" s="327"/>
      <c r="Y202" s="327"/>
      <c r="Z202" s="327"/>
      <c r="AA202" s="327"/>
      <c r="AB202" s="327"/>
      <c r="AC202" s="327"/>
      <c r="AD202" s="327"/>
    </row>
    <row r="203" ht="23.25" customHeight="1">
      <c r="A203" s="327"/>
      <c r="B203" s="327"/>
      <c r="C203" s="327"/>
      <c r="D203" s="327"/>
      <c r="E203" s="327"/>
      <c r="F203" s="327"/>
      <c r="G203" s="327"/>
      <c r="H203" s="327"/>
      <c r="I203" s="327"/>
      <c r="J203" s="327"/>
      <c r="K203" s="327"/>
      <c r="L203" s="327"/>
      <c r="M203" s="327"/>
      <c r="N203" s="327"/>
      <c r="O203" s="327"/>
      <c r="P203" s="327"/>
      <c r="Q203" s="327"/>
      <c r="R203" s="327"/>
      <c r="S203" s="327"/>
      <c r="T203" s="327"/>
      <c r="U203" s="327"/>
      <c r="V203" s="327"/>
      <c r="W203" s="327"/>
      <c r="X203" s="327"/>
      <c r="Y203" s="327"/>
      <c r="Z203" s="327"/>
      <c r="AA203" s="327"/>
      <c r="AB203" s="327"/>
      <c r="AC203" s="327"/>
      <c r="AD203" s="327"/>
    </row>
    <row r="204" ht="23.25" customHeight="1">
      <c r="A204" s="327"/>
      <c r="B204" s="327"/>
      <c r="C204" s="327"/>
      <c r="D204" s="327"/>
      <c r="E204" s="327"/>
      <c r="F204" s="327"/>
      <c r="G204" s="327"/>
      <c r="H204" s="327"/>
      <c r="I204" s="327"/>
      <c r="J204" s="327"/>
      <c r="K204" s="327"/>
      <c r="L204" s="327"/>
      <c r="M204" s="327"/>
      <c r="N204" s="327"/>
      <c r="O204" s="327"/>
      <c r="P204" s="327"/>
      <c r="Q204" s="327"/>
      <c r="R204" s="327"/>
      <c r="S204" s="327"/>
      <c r="T204" s="327"/>
      <c r="U204" s="327"/>
      <c r="V204" s="327"/>
      <c r="W204" s="327"/>
      <c r="X204" s="327"/>
      <c r="Y204" s="327"/>
      <c r="Z204" s="327"/>
      <c r="AA204" s="327"/>
      <c r="AB204" s="327"/>
      <c r="AC204" s="327"/>
      <c r="AD204" s="327"/>
    </row>
    <row r="205" ht="23.25" customHeight="1">
      <c r="A205" s="327"/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327"/>
      <c r="T205" s="327"/>
      <c r="U205" s="327"/>
      <c r="V205" s="327"/>
      <c r="W205" s="327"/>
      <c r="X205" s="327"/>
      <c r="Y205" s="327"/>
      <c r="Z205" s="327"/>
      <c r="AA205" s="327"/>
      <c r="AB205" s="327"/>
      <c r="AC205" s="327"/>
      <c r="AD205" s="327"/>
    </row>
    <row r="206" ht="23.25" customHeight="1">
      <c r="A206" s="327"/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327"/>
      <c r="T206" s="327"/>
      <c r="U206" s="327"/>
      <c r="V206" s="327"/>
      <c r="W206" s="327"/>
      <c r="X206" s="327"/>
      <c r="Y206" s="327"/>
      <c r="Z206" s="327"/>
      <c r="AA206" s="327"/>
      <c r="AB206" s="327"/>
      <c r="AC206" s="327"/>
      <c r="AD206" s="327"/>
    </row>
    <row r="207" ht="23.25" customHeight="1">
      <c r="A207" s="327"/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7"/>
      <c r="P207" s="327"/>
      <c r="Q207" s="327"/>
      <c r="R207" s="327"/>
      <c r="S207" s="327"/>
      <c r="T207" s="327"/>
      <c r="U207" s="327"/>
      <c r="V207" s="327"/>
      <c r="W207" s="327"/>
      <c r="X207" s="327"/>
      <c r="Y207" s="327"/>
      <c r="Z207" s="327"/>
      <c r="AA207" s="327"/>
      <c r="AB207" s="327"/>
      <c r="AC207" s="327"/>
      <c r="AD207" s="327"/>
    </row>
    <row r="208" ht="23.25" customHeight="1">
      <c r="A208" s="327"/>
      <c r="B208" s="327"/>
      <c r="C208" s="327"/>
      <c r="D208" s="327"/>
      <c r="E208" s="327"/>
      <c r="F208" s="327"/>
      <c r="G208" s="327"/>
      <c r="H208" s="327"/>
      <c r="I208" s="327"/>
      <c r="J208" s="327"/>
      <c r="K208" s="327"/>
      <c r="L208" s="327"/>
      <c r="M208" s="327"/>
      <c r="N208" s="327"/>
      <c r="O208" s="327"/>
      <c r="P208" s="327"/>
      <c r="Q208" s="327"/>
      <c r="R208" s="327"/>
      <c r="S208" s="327"/>
      <c r="T208" s="327"/>
      <c r="U208" s="327"/>
      <c r="V208" s="327"/>
      <c r="W208" s="327"/>
      <c r="X208" s="327"/>
      <c r="Y208" s="327"/>
      <c r="Z208" s="327"/>
      <c r="AA208" s="327"/>
      <c r="AB208" s="327"/>
      <c r="AC208" s="327"/>
      <c r="AD208" s="327"/>
    </row>
    <row r="209" ht="23.25" customHeight="1">
      <c r="A209" s="327"/>
      <c r="B209" s="327"/>
      <c r="C209" s="327"/>
      <c r="D209" s="327"/>
      <c r="E209" s="327"/>
      <c r="F209" s="327"/>
      <c r="G209" s="327"/>
      <c r="H209" s="327"/>
      <c r="I209" s="327"/>
      <c r="J209" s="327"/>
      <c r="K209" s="327"/>
      <c r="L209" s="327"/>
      <c r="M209" s="327"/>
      <c r="N209" s="327"/>
      <c r="O209" s="327"/>
      <c r="P209" s="327"/>
      <c r="Q209" s="327"/>
      <c r="R209" s="327"/>
      <c r="S209" s="327"/>
      <c r="T209" s="327"/>
      <c r="U209" s="327"/>
      <c r="V209" s="327"/>
      <c r="W209" s="327"/>
      <c r="X209" s="327"/>
      <c r="Y209" s="327"/>
      <c r="Z209" s="327"/>
      <c r="AA209" s="327"/>
      <c r="AB209" s="327"/>
      <c r="AC209" s="327"/>
      <c r="AD209" s="327"/>
    </row>
    <row r="210" ht="23.25" customHeight="1">
      <c r="A210" s="327"/>
      <c r="B210" s="327"/>
      <c r="C210" s="327"/>
      <c r="D210" s="327"/>
      <c r="E210" s="327"/>
      <c r="F210" s="327"/>
      <c r="G210" s="327"/>
      <c r="H210" s="327"/>
      <c r="I210" s="327"/>
      <c r="J210" s="327"/>
      <c r="K210" s="327"/>
      <c r="L210" s="327"/>
      <c r="M210" s="327"/>
      <c r="N210" s="327"/>
      <c r="O210" s="327"/>
      <c r="P210" s="327"/>
      <c r="Q210" s="327"/>
      <c r="R210" s="327"/>
      <c r="S210" s="327"/>
      <c r="T210" s="327"/>
      <c r="U210" s="327"/>
      <c r="V210" s="327"/>
      <c r="W210" s="327"/>
      <c r="X210" s="327"/>
      <c r="Y210" s="327"/>
      <c r="Z210" s="327"/>
      <c r="AA210" s="327"/>
      <c r="AB210" s="327"/>
      <c r="AC210" s="327"/>
      <c r="AD210" s="327"/>
    </row>
    <row r="211" ht="23.25" customHeight="1">
      <c r="A211" s="327"/>
      <c r="B211" s="327"/>
      <c r="C211" s="327"/>
      <c r="D211" s="327"/>
      <c r="E211" s="327"/>
      <c r="F211" s="327"/>
      <c r="G211" s="327"/>
      <c r="H211" s="327"/>
      <c r="I211" s="327"/>
      <c r="J211" s="327"/>
      <c r="K211" s="327"/>
      <c r="L211" s="327"/>
      <c r="M211" s="327"/>
      <c r="N211" s="327"/>
      <c r="O211" s="327"/>
      <c r="P211" s="327"/>
      <c r="Q211" s="327"/>
      <c r="R211" s="327"/>
      <c r="S211" s="327"/>
      <c r="T211" s="327"/>
      <c r="U211" s="327"/>
      <c r="V211" s="327"/>
      <c r="W211" s="327"/>
      <c r="X211" s="327"/>
      <c r="Y211" s="327"/>
      <c r="Z211" s="327"/>
      <c r="AA211" s="327"/>
      <c r="AB211" s="327"/>
      <c r="AC211" s="327"/>
      <c r="AD211" s="327"/>
    </row>
    <row r="212" ht="23.25" customHeight="1">
      <c r="A212" s="327"/>
      <c r="B212" s="327"/>
      <c r="C212" s="327"/>
      <c r="D212" s="327"/>
      <c r="E212" s="327"/>
      <c r="F212" s="327"/>
      <c r="G212" s="327"/>
      <c r="H212" s="327"/>
      <c r="I212" s="327"/>
      <c r="J212" s="327"/>
      <c r="K212" s="327"/>
      <c r="L212" s="327"/>
      <c r="M212" s="327"/>
      <c r="N212" s="327"/>
      <c r="O212" s="327"/>
      <c r="P212" s="327"/>
      <c r="Q212" s="327"/>
      <c r="R212" s="327"/>
      <c r="S212" s="327"/>
      <c r="T212" s="327"/>
      <c r="U212" s="327"/>
      <c r="V212" s="327"/>
      <c r="W212" s="327"/>
      <c r="X212" s="327"/>
      <c r="Y212" s="327"/>
      <c r="Z212" s="327"/>
      <c r="AA212" s="327"/>
      <c r="AB212" s="327"/>
      <c r="AC212" s="327"/>
      <c r="AD212" s="327"/>
    </row>
    <row r="213" ht="23.25" customHeight="1">
      <c r="A213" s="327"/>
      <c r="B213" s="327"/>
      <c r="C213" s="327"/>
      <c r="D213" s="327"/>
      <c r="E213" s="327"/>
      <c r="F213" s="327"/>
      <c r="G213" s="327"/>
      <c r="H213" s="327"/>
      <c r="I213" s="327"/>
      <c r="J213" s="327"/>
      <c r="K213" s="327"/>
      <c r="L213" s="327"/>
      <c r="M213" s="327"/>
      <c r="N213" s="327"/>
      <c r="O213" s="327"/>
      <c r="P213" s="327"/>
      <c r="Q213" s="327"/>
      <c r="R213" s="327"/>
      <c r="S213" s="327"/>
      <c r="T213" s="327"/>
      <c r="U213" s="327"/>
      <c r="V213" s="327"/>
      <c r="W213" s="327"/>
      <c r="X213" s="327"/>
      <c r="Y213" s="327"/>
      <c r="Z213" s="327"/>
      <c r="AA213" s="327"/>
      <c r="AB213" s="327"/>
      <c r="AC213" s="327"/>
      <c r="AD213" s="327"/>
    </row>
    <row r="214" ht="23.25" customHeight="1">
      <c r="A214" s="327"/>
      <c r="B214" s="327"/>
      <c r="C214" s="327"/>
      <c r="D214" s="327"/>
      <c r="E214" s="327"/>
      <c r="F214" s="327"/>
      <c r="G214" s="327"/>
      <c r="H214" s="327"/>
      <c r="I214" s="327"/>
      <c r="J214" s="327"/>
      <c r="K214" s="327"/>
      <c r="L214" s="327"/>
      <c r="M214" s="327"/>
      <c r="N214" s="327"/>
      <c r="O214" s="327"/>
      <c r="P214" s="327"/>
      <c r="Q214" s="327"/>
      <c r="R214" s="327"/>
      <c r="S214" s="327"/>
      <c r="T214" s="327"/>
      <c r="U214" s="327"/>
      <c r="V214" s="327"/>
      <c r="W214" s="327"/>
      <c r="X214" s="327"/>
      <c r="Y214" s="327"/>
      <c r="Z214" s="327"/>
      <c r="AA214" s="327"/>
      <c r="AB214" s="327"/>
      <c r="AC214" s="327"/>
      <c r="AD214" s="327"/>
    </row>
    <row r="215" ht="23.25" customHeight="1">
      <c r="A215" s="327"/>
      <c r="B215" s="327"/>
      <c r="C215" s="327"/>
      <c r="D215" s="327"/>
      <c r="E215" s="327"/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327"/>
      <c r="T215" s="327"/>
      <c r="U215" s="327"/>
      <c r="V215" s="327"/>
      <c r="W215" s="327"/>
      <c r="X215" s="327"/>
      <c r="Y215" s="327"/>
      <c r="Z215" s="327"/>
      <c r="AA215" s="327"/>
      <c r="AB215" s="327"/>
      <c r="AC215" s="327"/>
      <c r="AD215" s="327"/>
    </row>
    <row r="216" ht="23.25" customHeight="1">
      <c r="A216" s="327"/>
      <c r="B216" s="327"/>
      <c r="C216" s="32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  <c r="X216" s="327"/>
      <c r="Y216" s="327"/>
      <c r="Z216" s="327"/>
      <c r="AA216" s="327"/>
      <c r="AB216" s="327"/>
      <c r="AC216" s="327"/>
      <c r="AD216" s="327"/>
    </row>
    <row r="217" ht="23.25" customHeight="1">
      <c r="A217" s="327"/>
      <c r="B217" s="327"/>
      <c r="C217" s="327"/>
      <c r="D217" s="327"/>
      <c r="E217" s="327"/>
      <c r="F217" s="327"/>
      <c r="G217" s="327"/>
      <c r="H217" s="327"/>
      <c r="I217" s="327"/>
      <c r="J217" s="327"/>
      <c r="K217" s="327"/>
      <c r="L217" s="327"/>
      <c r="M217" s="327"/>
      <c r="N217" s="327"/>
      <c r="O217" s="327"/>
      <c r="P217" s="327"/>
      <c r="Q217" s="327"/>
      <c r="R217" s="327"/>
      <c r="S217" s="327"/>
      <c r="T217" s="327"/>
      <c r="U217" s="327"/>
      <c r="V217" s="327"/>
      <c r="W217" s="327"/>
      <c r="X217" s="327"/>
      <c r="Y217" s="327"/>
      <c r="Z217" s="327"/>
      <c r="AA217" s="327"/>
      <c r="AB217" s="327"/>
      <c r="AC217" s="327"/>
      <c r="AD217" s="327"/>
    </row>
    <row r="218" ht="23.25" customHeight="1">
      <c r="A218" s="327"/>
      <c r="B218" s="327"/>
      <c r="C218" s="327"/>
      <c r="D218" s="327"/>
      <c r="E218" s="327"/>
      <c r="F218" s="327"/>
      <c r="G218" s="327"/>
      <c r="H218" s="327"/>
      <c r="I218" s="327"/>
      <c r="J218" s="327"/>
      <c r="K218" s="327"/>
      <c r="L218" s="327"/>
      <c r="M218" s="327"/>
      <c r="N218" s="327"/>
      <c r="O218" s="327"/>
      <c r="P218" s="327"/>
      <c r="Q218" s="327"/>
      <c r="R218" s="327"/>
      <c r="S218" s="327"/>
      <c r="T218" s="327"/>
      <c r="U218" s="327"/>
      <c r="V218" s="327"/>
      <c r="W218" s="327"/>
      <c r="X218" s="327"/>
      <c r="Y218" s="327"/>
      <c r="Z218" s="327"/>
      <c r="AA218" s="327"/>
      <c r="AB218" s="327"/>
      <c r="AC218" s="327"/>
      <c r="AD218" s="327"/>
    </row>
    <row r="219" ht="23.25" customHeight="1">
      <c r="A219" s="327"/>
      <c r="B219" s="327"/>
      <c r="C219" s="327"/>
      <c r="D219" s="327"/>
      <c r="E219" s="327"/>
      <c r="F219" s="327"/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ht="23.25" customHeight="1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ht="23.25" customHeight="1">
      <c r="A221" s="327"/>
      <c r="B221" s="327"/>
      <c r="C221" s="327"/>
      <c r="D221" s="327"/>
      <c r="E221" s="327"/>
      <c r="F221" s="327"/>
      <c r="G221" s="327"/>
      <c r="H221" s="327"/>
      <c r="I221" s="327"/>
      <c r="J221" s="327"/>
      <c r="K221" s="327"/>
      <c r="L221" s="327"/>
      <c r="M221" s="327"/>
      <c r="N221" s="327"/>
      <c r="O221" s="327"/>
      <c r="P221" s="327"/>
      <c r="Q221" s="327"/>
      <c r="R221" s="327"/>
      <c r="S221" s="327"/>
      <c r="T221" s="327"/>
      <c r="U221" s="327"/>
      <c r="V221" s="327"/>
      <c r="W221" s="327"/>
      <c r="X221" s="327"/>
      <c r="Y221" s="327"/>
      <c r="Z221" s="327"/>
      <c r="AA221" s="327"/>
      <c r="AB221" s="327"/>
      <c r="AC221" s="327"/>
      <c r="AD221" s="327"/>
    </row>
    <row r="222" ht="23.25" customHeight="1">
      <c r="A222" s="327"/>
      <c r="B222" s="327"/>
      <c r="C222" s="327"/>
      <c r="D222" s="327"/>
      <c r="E222" s="327"/>
      <c r="F222" s="327"/>
      <c r="G222" s="327"/>
      <c r="H222" s="327"/>
      <c r="I222" s="327"/>
      <c r="J222" s="327"/>
      <c r="K222" s="327"/>
      <c r="L222" s="327"/>
      <c r="M222" s="327"/>
      <c r="N222" s="327"/>
      <c r="O222" s="327"/>
      <c r="P222" s="327"/>
      <c r="Q222" s="327"/>
      <c r="R222" s="327"/>
      <c r="S222" s="327"/>
      <c r="T222" s="327"/>
      <c r="U222" s="327"/>
      <c r="V222" s="327"/>
      <c r="W222" s="327"/>
      <c r="X222" s="327"/>
      <c r="Y222" s="327"/>
      <c r="Z222" s="327"/>
      <c r="AA222" s="327"/>
      <c r="AB222" s="327"/>
      <c r="AC222" s="327"/>
      <c r="AD222" s="327"/>
    </row>
    <row r="223" ht="23.25" customHeight="1">
      <c r="A223" s="327"/>
      <c r="B223" s="327"/>
      <c r="C223" s="327"/>
      <c r="D223" s="327"/>
      <c r="E223" s="327"/>
      <c r="F223" s="327"/>
      <c r="G223" s="327"/>
      <c r="H223" s="327"/>
      <c r="I223" s="327"/>
      <c r="J223" s="327"/>
      <c r="K223" s="327"/>
      <c r="L223" s="327"/>
      <c r="M223" s="327"/>
      <c r="N223" s="327"/>
      <c r="O223" s="327"/>
      <c r="P223" s="327"/>
      <c r="Q223" s="327"/>
      <c r="R223" s="327"/>
      <c r="S223" s="327"/>
      <c r="T223" s="327"/>
      <c r="U223" s="327"/>
      <c r="V223" s="327"/>
      <c r="W223" s="327"/>
      <c r="X223" s="327"/>
      <c r="Y223" s="327"/>
      <c r="Z223" s="327"/>
      <c r="AA223" s="327"/>
      <c r="AB223" s="327"/>
      <c r="AC223" s="327"/>
      <c r="AD223" s="327"/>
    </row>
    <row r="224" ht="23.25" customHeight="1">
      <c r="A224" s="327"/>
      <c r="B224" s="327"/>
      <c r="C224" s="327"/>
      <c r="D224" s="327"/>
      <c r="E224" s="327"/>
      <c r="F224" s="327"/>
      <c r="G224" s="327"/>
      <c r="H224" s="327"/>
      <c r="I224" s="327"/>
      <c r="J224" s="327"/>
      <c r="K224" s="327"/>
      <c r="L224" s="327"/>
      <c r="M224" s="327"/>
      <c r="N224" s="327"/>
      <c r="O224" s="327"/>
      <c r="P224" s="327"/>
      <c r="Q224" s="327"/>
      <c r="R224" s="327"/>
      <c r="S224" s="327"/>
      <c r="T224" s="327"/>
      <c r="U224" s="327"/>
      <c r="V224" s="327"/>
      <c r="W224" s="327"/>
      <c r="X224" s="327"/>
      <c r="Y224" s="327"/>
      <c r="Z224" s="327"/>
      <c r="AA224" s="327"/>
      <c r="AB224" s="327"/>
      <c r="AC224" s="327"/>
      <c r="AD224" s="327"/>
    </row>
    <row r="225" ht="23.25" customHeight="1">
      <c r="A225" s="327"/>
      <c r="B225" s="327"/>
      <c r="C225" s="327"/>
      <c r="D225" s="327"/>
      <c r="E225" s="327"/>
      <c r="F225" s="327"/>
      <c r="G225" s="327"/>
      <c r="H225" s="327"/>
      <c r="I225" s="327"/>
      <c r="J225" s="327"/>
      <c r="K225" s="327"/>
      <c r="L225" s="327"/>
      <c r="M225" s="327"/>
      <c r="N225" s="327"/>
      <c r="O225" s="327"/>
      <c r="P225" s="327"/>
      <c r="Q225" s="327"/>
      <c r="R225" s="327"/>
      <c r="S225" s="327"/>
      <c r="T225" s="327"/>
      <c r="U225" s="327"/>
      <c r="V225" s="327"/>
      <c r="W225" s="327"/>
      <c r="X225" s="327"/>
      <c r="Y225" s="327"/>
      <c r="Z225" s="327"/>
      <c r="AA225" s="327"/>
      <c r="AB225" s="327"/>
      <c r="AC225" s="327"/>
      <c r="AD225" s="327"/>
    </row>
    <row r="226" ht="23.25" customHeight="1">
      <c r="A226" s="327"/>
      <c r="B226" s="327"/>
      <c r="C226" s="327"/>
      <c r="D226" s="327"/>
      <c r="E226" s="327"/>
      <c r="F226" s="327"/>
      <c r="G226" s="327"/>
      <c r="H226" s="327"/>
      <c r="I226" s="327"/>
      <c r="J226" s="327"/>
      <c r="K226" s="327"/>
      <c r="L226" s="327"/>
      <c r="M226" s="327"/>
      <c r="N226" s="327"/>
      <c r="O226" s="327"/>
      <c r="P226" s="327"/>
      <c r="Q226" s="327"/>
      <c r="R226" s="327"/>
      <c r="S226" s="327"/>
      <c r="T226" s="327"/>
      <c r="U226" s="327"/>
      <c r="V226" s="327"/>
      <c r="W226" s="327"/>
      <c r="X226" s="327"/>
      <c r="Y226" s="327"/>
      <c r="Z226" s="327"/>
      <c r="AA226" s="327"/>
      <c r="AB226" s="327"/>
      <c r="AC226" s="327"/>
      <c r="AD226" s="327"/>
    </row>
    <row r="227" ht="23.25" customHeight="1">
      <c r="A227" s="327"/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7"/>
      <c r="P227" s="327"/>
      <c r="Q227" s="327"/>
      <c r="R227" s="327"/>
      <c r="S227" s="327"/>
      <c r="T227" s="327"/>
      <c r="U227" s="327"/>
      <c r="V227" s="327"/>
      <c r="W227" s="327"/>
      <c r="X227" s="327"/>
      <c r="Y227" s="327"/>
      <c r="Z227" s="327"/>
      <c r="AA227" s="327"/>
      <c r="AB227" s="327"/>
      <c r="AC227" s="327"/>
      <c r="AD227" s="327"/>
    </row>
    <row r="228" ht="23.25" customHeight="1">
      <c r="A228" s="327"/>
      <c r="B228" s="327"/>
      <c r="C228" s="327"/>
      <c r="D228" s="327"/>
      <c r="E228" s="327"/>
      <c r="F228" s="327"/>
      <c r="G228" s="327"/>
      <c r="H228" s="327"/>
      <c r="I228" s="327"/>
      <c r="J228" s="327"/>
      <c r="K228" s="327"/>
      <c r="L228" s="327"/>
      <c r="M228" s="327"/>
      <c r="N228" s="327"/>
      <c r="O228" s="327"/>
      <c r="P228" s="327"/>
      <c r="Q228" s="327"/>
      <c r="R228" s="327"/>
      <c r="S228" s="327"/>
      <c r="T228" s="327"/>
      <c r="U228" s="327"/>
      <c r="V228" s="327"/>
      <c r="W228" s="327"/>
      <c r="X228" s="327"/>
      <c r="Y228" s="327"/>
      <c r="Z228" s="327"/>
      <c r="AA228" s="327"/>
      <c r="AB228" s="327"/>
      <c r="AC228" s="327"/>
      <c r="AD228" s="327"/>
    </row>
    <row r="229" ht="23.25" customHeight="1">
      <c r="A229" s="327"/>
      <c r="B229" s="327"/>
      <c r="C229" s="327"/>
      <c r="D229" s="327"/>
      <c r="E229" s="327"/>
      <c r="F229" s="327"/>
      <c r="G229" s="327"/>
      <c r="H229" s="327"/>
      <c r="I229" s="327"/>
      <c r="J229" s="327"/>
      <c r="K229" s="327"/>
      <c r="L229" s="327"/>
      <c r="M229" s="327"/>
      <c r="N229" s="327"/>
      <c r="O229" s="327"/>
      <c r="P229" s="327"/>
      <c r="Q229" s="327"/>
      <c r="R229" s="327"/>
      <c r="S229" s="327"/>
      <c r="T229" s="327"/>
      <c r="U229" s="327"/>
      <c r="V229" s="327"/>
      <c r="W229" s="327"/>
      <c r="X229" s="327"/>
      <c r="Y229" s="327"/>
      <c r="Z229" s="327"/>
      <c r="AA229" s="327"/>
      <c r="AB229" s="327"/>
      <c r="AC229" s="327"/>
      <c r="AD229" s="327"/>
    </row>
    <row r="230" ht="23.25" customHeight="1">
      <c r="A230" s="327"/>
      <c r="B230" s="327"/>
      <c r="C230" s="327"/>
      <c r="D230" s="327"/>
      <c r="E230" s="327"/>
      <c r="F230" s="327"/>
      <c r="G230" s="327"/>
      <c r="H230" s="327"/>
      <c r="I230" s="327"/>
      <c r="J230" s="327"/>
      <c r="K230" s="327"/>
      <c r="L230" s="327"/>
      <c r="M230" s="327"/>
      <c r="N230" s="327"/>
      <c r="O230" s="327"/>
      <c r="P230" s="327"/>
      <c r="Q230" s="327"/>
      <c r="R230" s="327"/>
      <c r="S230" s="327"/>
      <c r="T230" s="327"/>
      <c r="U230" s="327"/>
      <c r="V230" s="327"/>
      <c r="W230" s="327"/>
      <c r="X230" s="327"/>
      <c r="Y230" s="327"/>
      <c r="Z230" s="327"/>
      <c r="AA230" s="327"/>
      <c r="AB230" s="327"/>
      <c r="AC230" s="327"/>
      <c r="AD230" s="327"/>
    </row>
    <row r="231" ht="23.25" customHeight="1">
      <c r="A231" s="327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327"/>
      <c r="M231" s="327"/>
      <c r="N231" s="327"/>
      <c r="O231" s="327"/>
      <c r="P231" s="327"/>
      <c r="Q231" s="327"/>
      <c r="R231" s="327"/>
      <c r="S231" s="327"/>
      <c r="T231" s="327"/>
      <c r="U231" s="327"/>
      <c r="V231" s="327"/>
      <c r="W231" s="327"/>
      <c r="X231" s="327"/>
      <c r="Y231" s="327"/>
      <c r="Z231" s="327"/>
      <c r="AA231" s="327"/>
      <c r="AB231" s="327"/>
      <c r="AC231" s="327"/>
      <c r="AD231" s="327"/>
    </row>
    <row r="232" ht="23.25" customHeight="1">
      <c r="A232" s="327"/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327"/>
      <c r="M232" s="327"/>
      <c r="N232" s="327"/>
      <c r="O232" s="327"/>
      <c r="P232" s="327"/>
      <c r="Q232" s="327"/>
      <c r="R232" s="327"/>
      <c r="S232" s="327"/>
      <c r="T232" s="327"/>
      <c r="U232" s="327"/>
      <c r="V232" s="327"/>
      <c r="W232" s="327"/>
      <c r="X232" s="327"/>
      <c r="Y232" s="327"/>
      <c r="Z232" s="327"/>
      <c r="AA232" s="327"/>
      <c r="AB232" s="327"/>
      <c r="AC232" s="327"/>
      <c r="AD232" s="327"/>
    </row>
    <row r="233" ht="23.25" customHeight="1">
      <c r="A233" s="327"/>
      <c r="B233" s="327"/>
      <c r="C233" s="327"/>
      <c r="D233" s="327"/>
      <c r="E233" s="327"/>
      <c r="F233" s="327"/>
      <c r="G233" s="327"/>
      <c r="H233" s="327"/>
      <c r="I233" s="327"/>
      <c r="J233" s="327"/>
      <c r="K233" s="327"/>
      <c r="L233" s="327"/>
      <c r="M233" s="327"/>
      <c r="N233" s="327"/>
      <c r="O233" s="327"/>
      <c r="P233" s="327"/>
      <c r="Q233" s="327"/>
      <c r="R233" s="327"/>
      <c r="S233" s="327"/>
      <c r="T233" s="327"/>
      <c r="U233" s="327"/>
      <c r="V233" s="327"/>
      <c r="W233" s="327"/>
      <c r="X233" s="327"/>
      <c r="Y233" s="327"/>
      <c r="Z233" s="327"/>
      <c r="AA233" s="327"/>
      <c r="AB233" s="327"/>
      <c r="AC233" s="327"/>
      <c r="AD233" s="327"/>
    </row>
    <row r="234" ht="23.25" customHeight="1">
      <c r="A234" s="327"/>
      <c r="B234" s="327"/>
      <c r="C234" s="327"/>
      <c r="D234" s="327"/>
      <c r="E234" s="327"/>
      <c r="F234" s="327"/>
      <c r="G234" s="327"/>
      <c r="H234" s="327"/>
      <c r="I234" s="327"/>
      <c r="J234" s="327"/>
      <c r="K234" s="327"/>
      <c r="L234" s="327"/>
      <c r="M234" s="327"/>
      <c r="N234" s="327"/>
      <c r="O234" s="327"/>
      <c r="P234" s="327"/>
      <c r="Q234" s="327"/>
      <c r="R234" s="327"/>
      <c r="S234" s="327"/>
      <c r="T234" s="327"/>
      <c r="U234" s="327"/>
      <c r="V234" s="327"/>
      <c r="W234" s="327"/>
      <c r="X234" s="327"/>
      <c r="Y234" s="327"/>
      <c r="Z234" s="327"/>
      <c r="AA234" s="327"/>
      <c r="AB234" s="327"/>
      <c r="AC234" s="327"/>
      <c r="AD234" s="327"/>
    </row>
    <row r="235" ht="23.25" customHeight="1">
      <c r="A235" s="327"/>
      <c r="B235" s="327"/>
      <c r="C235" s="327"/>
      <c r="D235" s="327"/>
      <c r="E235" s="327"/>
      <c r="F235" s="327"/>
      <c r="G235" s="327"/>
      <c r="H235" s="327"/>
      <c r="I235" s="327"/>
      <c r="J235" s="327"/>
      <c r="K235" s="327"/>
      <c r="L235" s="327"/>
      <c r="M235" s="327"/>
      <c r="N235" s="327"/>
      <c r="O235" s="327"/>
      <c r="P235" s="327"/>
      <c r="Q235" s="327"/>
      <c r="R235" s="327"/>
      <c r="S235" s="327"/>
      <c r="T235" s="327"/>
      <c r="U235" s="327"/>
      <c r="V235" s="327"/>
      <c r="W235" s="327"/>
      <c r="X235" s="327"/>
      <c r="Y235" s="327"/>
      <c r="Z235" s="327"/>
      <c r="AA235" s="327"/>
      <c r="AB235" s="327"/>
      <c r="AC235" s="327"/>
      <c r="AD235" s="327"/>
    </row>
    <row r="236" ht="23.25" customHeight="1">
      <c r="A236" s="327"/>
      <c r="B236" s="327"/>
      <c r="C236" s="327"/>
      <c r="D236" s="327"/>
      <c r="E236" s="327"/>
      <c r="F236" s="327"/>
      <c r="G236" s="327"/>
      <c r="H236" s="327"/>
      <c r="I236" s="327"/>
      <c r="J236" s="327"/>
      <c r="K236" s="327"/>
      <c r="L236" s="327"/>
      <c r="M236" s="327"/>
      <c r="N236" s="327"/>
      <c r="O236" s="327"/>
      <c r="P236" s="327"/>
      <c r="Q236" s="327"/>
      <c r="R236" s="327"/>
      <c r="S236" s="327"/>
      <c r="T236" s="327"/>
      <c r="U236" s="327"/>
      <c r="V236" s="327"/>
      <c r="W236" s="327"/>
      <c r="X236" s="327"/>
      <c r="Y236" s="327"/>
      <c r="Z236" s="327"/>
      <c r="AA236" s="327"/>
      <c r="AB236" s="327"/>
      <c r="AC236" s="327"/>
      <c r="AD236" s="327"/>
    </row>
    <row r="237" ht="23.25" customHeight="1">
      <c r="A237" s="327"/>
      <c r="B237" s="327"/>
      <c r="C237" s="327"/>
      <c r="D237" s="327"/>
      <c r="E237" s="327"/>
      <c r="F237" s="327"/>
      <c r="G237" s="327"/>
      <c r="H237" s="327"/>
      <c r="I237" s="327"/>
      <c r="J237" s="327"/>
      <c r="K237" s="327"/>
      <c r="L237" s="327"/>
      <c r="M237" s="327"/>
      <c r="N237" s="327"/>
      <c r="O237" s="327"/>
      <c r="P237" s="327"/>
      <c r="Q237" s="327"/>
      <c r="R237" s="327"/>
      <c r="S237" s="327"/>
      <c r="T237" s="327"/>
      <c r="U237" s="327"/>
      <c r="V237" s="327"/>
      <c r="W237" s="327"/>
      <c r="X237" s="327"/>
      <c r="Y237" s="327"/>
      <c r="Z237" s="327"/>
      <c r="AA237" s="327"/>
      <c r="AB237" s="327"/>
      <c r="AC237" s="327"/>
      <c r="AD237" s="327"/>
    </row>
    <row r="238" ht="23.25" customHeight="1">
      <c r="A238" s="327"/>
      <c r="B238" s="327"/>
      <c r="C238" s="327"/>
      <c r="D238" s="327"/>
      <c r="E238" s="327"/>
      <c r="F238" s="327"/>
      <c r="G238" s="327"/>
      <c r="H238" s="327"/>
      <c r="I238" s="327"/>
      <c r="J238" s="327"/>
      <c r="K238" s="327"/>
      <c r="L238" s="327"/>
      <c r="M238" s="327"/>
      <c r="N238" s="327"/>
      <c r="O238" s="327"/>
      <c r="P238" s="327"/>
      <c r="Q238" s="327"/>
      <c r="R238" s="327"/>
      <c r="S238" s="327"/>
      <c r="T238" s="327"/>
      <c r="U238" s="327"/>
      <c r="V238" s="327"/>
      <c r="W238" s="327"/>
      <c r="X238" s="327"/>
      <c r="Y238" s="327"/>
      <c r="Z238" s="327"/>
      <c r="AA238" s="327"/>
      <c r="AB238" s="327"/>
      <c r="AC238" s="327"/>
      <c r="AD238" s="327"/>
    </row>
    <row r="239" ht="23.25" customHeight="1">
      <c r="A239" s="327"/>
      <c r="B239" s="327"/>
      <c r="C239" s="327"/>
      <c r="D239" s="327"/>
      <c r="E239" s="327"/>
      <c r="F239" s="327"/>
      <c r="G239" s="327"/>
      <c r="H239" s="327"/>
      <c r="I239" s="327"/>
      <c r="J239" s="327"/>
      <c r="K239" s="327"/>
      <c r="L239" s="327"/>
      <c r="M239" s="327"/>
      <c r="N239" s="327"/>
      <c r="O239" s="327"/>
      <c r="P239" s="327"/>
      <c r="Q239" s="327"/>
      <c r="R239" s="327"/>
      <c r="S239" s="327"/>
      <c r="T239" s="327"/>
      <c r="U239" s="327"/>
      <c r="V239" s="327"/>
      <c r="W239" s="327"/>
      <c r="X239" s="327"/>
      <c r="Y239" s="327"/>
      <c r="Z239" s="327"/>
      <c r="AA239" s="327"/>
      <c r="AB239" s="327"/>
      <c r="AC239" s="327"/>
      <c r="AD239" s="327"/>
    </row>
    <row r="240" ht="23.25" customHeight="1">
      <c r="A240" s="327"/>
      <c r="B240" s="327"/>
      <c r="C240" s="327"/>
      <c r="D240" s="327"/>
      <c r="E240" s="327"/>
      <c r="F240" s="327"/>
      <c r="G240" s="327"/>
      <c r="H240" s="327"/>
      <c r="I240" s="327"/>
      <c r="J240" s="327"/>
      <c r="K240" s="327"/>
      <c r="L240" s="327"/>
      <c r="M240" s="327"/>
      <c r="N240" s="327"/>
      <c r="O240" s="327"/>
      <c r="P240" s="327"/>
      <c r="Q240" s="327"/>
      <c r="R240" s="327"/>
      <c r="S240" s="327"/>
      <c r="T240" s="327"/>
      <c r="U240" s="327"/>
      <c r="V240" s="327"/>
      <c r="W240" s="327"/>
      <c r="X240" s="327"/>
      <c r="Y240" s="327"/>
      <c r="Z240" s="327"/>
      <c r="AA240" s="327"/>
      <c r="AB240" s="327"/>
      <c r="AC240" s="327"/>
      <c r="AD240" s="327"/>
    </row>
    <row r="241" ht="23.25" customHeight="1">
      <c r="A241" s="327"/>
      <c r="B241" s="327"/>
      <c r="C241" s="327"/>
      <c r="D241" s="327"/>
      <c r="E241" s="327"/>
      <c r="F241" s="327"/>
      <c r="G241" s="327"/>
      <c r="H241" s="327"/>
      <c r="I241" s="327"/>
      <c r="J241" s="327"/>
      <c r="K241" s="327"/>
      <c r="L241" s="327"/>
      <c r="M241" s="327"/>
      <c r="N241" s="327"/>
      <c r="O241" s="327"/>
      <c r="P241" s="327"/>
      <c r="Q241" s="327"/>
      <c r="R241" s="327"/>
      <c r="S241" s="327"/>
      <c r="T241" s="327"/>
      <c r="U241" s="327"/>
      <c r="V241" s="327"/>
      <c r="W241" s="327"/>
      <c r="X241" s="327"/>
      <c r="Y241" s="327"/>
      <c r="Z241" s="327"/>
      <c r="AA241" s="327"/>
      <c r="AB241" s="327"/>
      <c r="AC241" s="327"/>
      <c r="AD241" s="327"/>
    </row>
    <row r="242" ht="23.25" customHeight="1">
      <c r="A242" s="327"/>
      <c r="B242" s="327"/>
      <c r="C242" s="327"/>
      <c r="D242" s="327"/>
      <c r="E242" s="327"/>
      <c r="F242" s="327"/>
      <c r="G242" s="327"/>
      <c r="H242" s="327"/>
      <c r="I242" s="327"/>
      <c r="J242" s="327"/>
      <c r="K242" s="327"/>
      <c r="L242" s="327"/>
      <c r="M242" s="327"/>
      <c r="N242" s="327"/>
      <c r="O242" s="327"/>
      <c r="P242" s="327"/>
      <c r="Q242" s="327"/>
      <c r="R242" s="327"/>
      <c r="S242" s="327"/>
      <c r="T242" s="327"/>
      <c r="U242" s="327"/>
      <c r="V242" s="327"/>
      <c r="W242" s="327"/>
      <c r="X242" s="327"/>
      <c r="Y242" s="327"/>
      <c r="Z242" s="327"/>
      <c r="AA242" s="327"/>
      <c r="AB242" s="327"/>
      <c r="AC242" s="327"/>
      <c r="AD242" s="327"/>
    </row>
    <row r="243" ht="23.25" customHeight="1">
      <c r="A243" s="327"/>
      <c r="B243" s="327"/>
      <c r="C243" s="327"/>
      <c r="D243" s="327"/>
      <c r="E243" s="327"/>
      <c r="F243" s="327"/>
      <c r="G243" s="327"/>
      <c r="H243" s="327"/>
      <c r="I243" s="327"/>
      <c r="J243" s="327"/>
      <c r="K243" s="327"/>
      <c r="L243" s="327"/>
      <c r="M243" s="327"/>
      <c r="N243" s="327"/>
      <c r="O243" s="327"/>
      <c r="P243" s="327"/>
      <c r="Q243" s="327"/>
      <c r="R243" s="327"/>
      <c r="S243" s="327"/>
      <c r="T243" s="327"/>
      <c r="U243" s="327"/>
      <c r="V243" s="327"/>
      <c r="W243" s="327"/>
      <c r="X243" s="327"/>
      <c r="Y243" s="327"/>
      <c r="Z243" s="327"/>
      <c r="AA243" s="327"/>
      <c r="AB243" s="327"/>
      <c r="AC243" s="327"/>
      <c r="AD243" s="327"/>
    </row>
    <row r="244" ht="23.25" customHeight="1">
      <c r="A244" s="327"/>
      <c r="B244" s="327"/>
      <c r="C244" s="327"/>
      <c r="D244" s="327"/>
      <c r="E244" s="327"/>
      <c r="F244" s="327"/>
      <c r="G244" s="327"/>
      <c r="H244" s="327"/>
      <c r="I244" s="327"/>
      <c r="J244" s="327"/>
      <c r="K244" s="327"/>
      <c r="L244" s="327"/>
      <c r="M244" s="327"/>
      <c r="N244" s="327"/>
      <c r="O244" s="327"/>
      <c r="P244" s="327"/>
      <c r="Q244" s="327"/>
      <c r="R244" s="327"/>
      <c r="S244" s="327"/>
      <c r="T244" s="327"/>
      <c r="U244" s="327"/>
      <c r="V244" s="327"/>
      <c r="W244" s="327"/>
      <c r="X244" s="327"/>
      <c r="Y244" s="327"/>
      <c r="Z244" s="327"/>
      <c r="AA244" s="327"/>
      <c r="AB244" s="327"/>
      <c r="AC244" s="327"/>
      <c r="AD244" s="327"/>
    </row>
    <row r="245" ht="23.25" customHeight="1">
      <c r="A245" s="327"/>
      <c r="B245" s="327"/>
      <c r="C245" s="327"/>
      <c r="D245" s="327"/>
      <c r="E245" s="327"/>
      <c r="F245" s="327"/>
      <c r="G245" s="327"/>
      <c r="H245" s="327"/>
      <c r="I245" s="327"/>
      <c r="J245" s="327"/>
      <c r="K245" s="327"/>
      <c r="L245" s="327"/>
      <c r="M245" s="327"/>
      <c r="N245" s="327"/>
      <c r="O245" s="327"/>
      <c r="P245" s="327"/>
      <c r="Q245" s="327"/>
      <c r="R245" s="327"/>
      <c r="S245" s="327"/>
      <c r="T245" s="327"/>
      <c r="U245" s="327"/>
      <c r="V245" s="327"/>
      <c r="W245" s="327"/>
      <c r="X245" s="327"/>
      <c r="Y245" s="327"/>
      <c r="Z245" s="327"/>
      <c r="AA245" s="327"/>
      <c r="AB245" s="327"/>
      <c r="AC245" s="327"/>
      <c r="AD245" s="327"/>
    </row>
    <row r="246" ht="23.25" customHeight="1">
      <c r="A246" s="327"/>
      <c r="B246" s="327"/>
      <c r="C246" s="327"/>
      <c r="D246" s="327"/>
      <c r="E246" s="327"/>
      <c r="F246" s="327"/>
      <c r="G246" s="327"/>
      <c r="H246" s="327"/>
      <c r="I246" s="327"/>
      <c r="J246" s="327"/>
      <c r="K246" s="327"/>
      <c r="L246" s="327"/>
      <c r="M246" s="327"/>
      <c r="N246" s="327"/>
      <c r="O246" s="327"/>
      <c r="P246" s="327"/>
      <c r="Q246" s="327"/>
      <c r="R246" s="327"/>
      <c r="S246" s="327"/>
      <c r="T246" s="327"/>
      <c r="U246" s="327"/>
      <c r="V246" s="327"/>
      <c r="W246" s="327"/>
      <c r="X246" s="327"/>
      <c r="Y246" s="327"/>
      <c r="Z246" s="327"/>
      <c r="AA246" s="327"/>
      <c r="AB246" s="327"/>
      <c r="AC246" s="327"/>
      <c r="AD246" s="32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6" t="s">
        <v>53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</row>
    <row r="2" ht="23.25" customHeight="1">
      <c r="A2" s="327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</row>
    <row r="3" ht="23.25" customHeight="1">
      <c r="A3" s="326" t="s">
        <v>121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ht="23.25" customHeight="1">
      <c r="A4" s="326" t="s">
        <v>122</v>
      </c>
      <c r="B4" s="329" t="s">
        <v>143</v>
      </c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ht="23.25" customHeight="1">
      <c r="A5" s="326"/>
      <c r="B5" s="371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</row>
    <row r="6" ht="24.0" customHeight="1">
      <c r="A6" s="327"/>
      <c r="B6" s="327"/>
      <c r="C6" s="327"/>
      <c r="D6" s="327"/>
      <c r="E6" s="327"/>
      <c r="F6" s="327"/>
      <c r="G6" s="327"/>
      <c r="H6" s="327"/>
      <c r="I6" s="330">
        <v>0.011</v>
      </c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  <c r="AA6" s="327"/>
      <c r="AB6" s="327"/>
      <c r="AC6" s="327"/>
      <c r="AD6" s="327"/>
    </row>
    <row r="7" ht="68.25" customHeight="1">
      <c r="A7" s="331" t="s">
        <v>124</v>
      </c>
      <c r="B7" s="332" t="s">
        <v>125</v>
      </c>
      <c r="C7" s="333" t="s">
        <v>126</v>
      </c>
      <c r="D7" s="333" t="s">
        <v>127</v>
      </c>
      <c r="E7" s="333" t="s">
        <v>128</v>
      </c>
      <c r="F7" s="333" t="s">
        <v>129</v>
      </c>
      <c r="G7" s="372" t="s">
        <v>130</v>
      </c>
      <c r="H7" s="334" t="s">
        <v>12</v>
      </c>
      <c r="I7" s="373" t="s">
        <v>146</v>
      </c>
      <c r="J7" s="335" t="s">
        <v>145</v>
      </c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</row>
    <row r="8" ht="38.25" customHeight="1">
      <c r="A8" s="374" t="str">
        <f>+SUMMARY!#REF!</f>
        <v>#ERROR!</v>
      </c>
      <c r="B8" s="338" t="str">
        <f>+SUMMARY!#REF!</f>
        <v>#ERROR!</v>
      </c>
      <c r="C8" s="338" t="str">
        <f>+SUMMARY!#REF!</f>
        <v>#ERROR!</v>
      </c>
      <c r="D8" s="338" t="str">
        <f>+SUMMARY!#REF!</f>
        <v>#ERROR!</v>
      </c>
      <c r="E8" s="338" t="str">
        <f>+SUMMARY!#REF!</f>
        <v>#ERROR!</v>
      </c>
      <c r="F8" s="338" t="str">
        <f>+SUMMARY!#REF!</f>
        <v>#ERROR!</v>
      </c>
      <c r="G8" s="338" t="str">
        <f>+SUMMARY!#REF!</f>
        <v>#ERROR!</v>
      </c>
      <c r="H8" s="375" t="str">
        <f>+SUMMARY!#REF!</f>
        <v>#ERROR!</v>
      </c>
      <c r="I8" s="376" t="str">
        <f t="shared" ref="I8:I38" si="1">E8/B8</f>
        <v>#ERROR!</v>
      </c>
      <c r="J8" s="341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</row>
    <row r="9" ht="38.25" customHeight="1">
      <c r="A9" s="374">
        <f>+SUMMARY!A7</f>
        <v>44470</v>
      </c>
      <c r="B9" s="338">
        <f>+SUMMARY!B7</f>
        <v>29571.8766</v>
      </c>
      <c r="C9" s="338">
        <f>+SUMMARY!C7</f>
        <v>26142.41555</v>
      </c>
      <c r="D9" s="338">
        <f>+SUMMARY!D7</f>
        <v>0</v>
      </c>
      <c r="E9" s="338">
        <f>+SUMMARY!E7</f>
        <v>61.2</v>
      </c>
      <c r="F9" s="338">
        <f>+SUMMARY!F7</f>
        <v>2380.536066</v>
      </c>
      <c r="G9" s="338">
        <f>+SUMMARY!G7</f>
        <v>987.7249887</v>
      </c>
      <c r="H9" s="375" t="str">
        <f>+SUMMARY!H7</f>
        <v/>
      </c>
      <c r="I9" s="376">
        <f t="shared" si="1"/>
        <v>0.002069533862</v>
      </c>
      <c r="J9" s="341"/>
      <c r="K9" s="327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  <c r="AA9" s="327"/>
      <c r="AB9" s="327"/>
      <c r="AC9" s="327"/>
      <c r="AD9" s="327"/>
    </row>
    <row r="10" ht="38.25" customHeight="1">
      <c r="A10" s="374">
        <f>+SUMMARY!A8</f>
        <v>44474</v>
      </c>
      <c r="B10" s="338">
        <f>+SUMMARY!B8</f>
        <v>24436.2732</v>
      </c>
      <c r="C10" s="338">
        <f>+SUMMARY!C8</f>
        <v>21980.6252</v>
      </c>
      <c r="D10" s="338">
        <f>+SUMMARY!D8</f>
        <v>0</v>
      </c>
      <c r="E10" s="338">
        <f>+SUMMARY!E8</f>
        <v>74.4</v>
      </c>
      <c r="F10" s="338">
        <f>+SUMMARY!F8</f>
        <v>1918.036262</v>
      </c>
      <c r="G10" s="338">
        <f>+SUMMARY!G8</f>
        <v>463.211736</v>
      </c>
      <c r="H10" s="377" t="str">
        <f>+SUMMARY!H8</f>
        <v/>
      </c>
      <c r="I10" s="376">
        <f t="shared" si="1"/>
        <v>0.003044654125</v>
      </c>
      <c r="J10" s="341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  <c r="W10" s="327"/>
      <c r="X10" s="327"/>
      <c r="Y10" s="327"/>
      <c r="Z10" s="327"/>
      <c r="AA10" s="327"/>
      <c r="AB10" s="327"/>
      <c r="AC10" s="327"/>
      <c r="AD10" s="327"/>
    </row>
    <row r="11" ht="38.25" customHeight="1">
      <c r="A11" s="374">
        <f>+SUMMARY!A9</f>
        <v>44477</v>
      </c>
      <c r="B11" s="338">
        <f>+SUMMARY!B9</f>
        <v>27897.0617</v>
      </c>
      <c r="C11" s="338">
        <f>+SUMMARY!C9</f>
        <v>24402.16893</v>
      </c>
      <c r="D11" s="338">
        <f>+SUMMARY!D9</f>
        <v>0</v>
      </c>
      <c r="E11" s="338">
        <f>+SUMMARY!E9</f>
        <v>262.5</v>
      </c>
      <c r="F11" s="338">
        <f>+SUMMARY!F9</f>
        <v>2378.418427</v>
      </c>
      <c r="G11" s="338">
        <f>+SUMMARY!G9</f>
        <v>853.9743396</v>
      </c>
      <c r="H11" s="375" t="str">
        <f>+SUMMARY!H9</f>
        <v/>
      </c>
      <c r="I11" s="376">
        <f t="shared" si="1"/>
        <v>0.009409593126</v>
      </c>
      <c r="J11" s="341"/>
      <c r="K11" s="327"/>
      <c r="L11" s="327"/>
      <c r="M11" s="327"/>
      <c r="N11" s="327"/>
      <c r="O11" s="327"/>
      <c r="P11" s="327"/>
      <c r="Q11" s="327"/>
      <c r="R11" s="327"/>
      <c r="S11" s="327"/>
      <c r="T11" s="327"/>
      <c r="U11" s="327"/>
      <c r="V11" s="327"/>
      <c r="W11" s="327"/>
      <c r="X11" s="327"/>
      <c r="Y11" s="327"/>
      <c r="Z11" s="327"/>
      <c r="AA11" s="327"/>
      <c r="AB11" s="327"/>
      <c r="AC11" s="327"/>
      <c r="AD11" s="327"/>
    </row>
    <row r="12" ht="38.25" customHeight="1">
      <c r="A12" s="374">
        <f>+SUMMARY!A10</f>
        <v>44480</v>
      </c>
      <c r="B12" s="338">
        <f>+SUMMARY!B10</f>
        <v>13063.4451</v>
      </c>
      <c r="C12" s="338">
        <f>+SUMMARY!C10</f>
        <v>12083.80943</v>
      </c>
      <c r="D12" s="338">
        <f>+SUMMARY!D10</f>
        <v>0</v>
      </c>
      <c r="E12" s="338">
        <f>+SUMMARY!E10</f>
        <v>68.4</v>
      </c>
      <c r="F12" s="338">
        <f>+SUMMARY!F10</f>
        <v>946.1549161</v>
      </c>
      <c r="G12" s="338">
        <f>+SUMMARY!G10</f>
        <v>-34.91925009</v>
      </c>
      <c r="H12" s="375" t="str">
        <f>+SUMMARY!H10</f>
        <v/>
      </c>
      <c r="I12" s="376">
        <f t="shared" si="1"/>
        <v>0.005235984802</v>
      </c>
      <c r="J12" s="341"/>
      <c r="K12" s="327"/>
      <c r="L12" s="327"/>
      <c r="M12" s="327"/>
      <c r="N12" s="327"/>
      <c r="O12" s="327"/>
      <c r="P12" s="327"/>
      <c r="Q12" s="327"/>
      <c r="R12" s="327"/>
      <c r="S12" s="327"/>
      <c r="T12" s="327"/>
      <c r="U12" s="327"/>
      <c r="V12" s="327"/>
      <c r="W12" s="327"/>
      <c r="X12" s="327"/>
      <c r="Y12" s="327"/>
      <c r="Z12" s="327"/>
      <c r="AA12" s="327"/>
      <c r="AB12" s="327"/>
      <c r="AC12" s="327"/>
      <c r="AD12" s="327"/>
    </row>
    <row r="13" ht="38.25" customHeight="1">
      <c r="A13" s="374">
        <f>+SUMMARY!A11</f>
        <v>44482</v>
      </c>
      <c r="B13" s="338">
        <f>+SUMMARY!B11</f>
        <v>17103.7926</v>
      </c>
      <c r="C13" s="338">
        <f>+SUMMARY!C11</f>
        <v>14815.61189</v>
      </c>
      <c r="D13" s="338">
        <f>+SUMMARY!D11</f>
        <v>0</v>
      </c>
      <c r="E13" s="338">
        <f>+SUMMARY!E11</f>
        <v>208.8</v>
      </c>
      <c r="F13" s="338">
        <f>+SUMMARY!F11</f>
        <v>1322.896902</v>
      </c>
      <c r="G13" s="338">
        <f>+SUMMARY!G11</f>
        <v>756.483805</v>
      </c>
      <c r="H13" s="375" t="str">
        <f>+SUMMARY!H11</f>
        <v/>
      </c>
      <c r="I13" s="376">
        <f t="shared" si="1"/>
        <v>0.01220781875</v>
      </c>
      <c r="J13" s="341"/>
      <c r="K13" s="327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  <c r="AA13" s="327"/>
      <c r="AB13" s="327"/>
      <c r="AC13" s="327"/>
      <c r="AD13" s="327"/>
    </row>
    <row r="14" ht="38.25" customHeight="1">
      <c r="A14" s="374">
        <f>+SUMMARY!A12</f>
        <v>44483</v>
      </c>
      <c r="B14" s="338">
        <f>+SUMMARY!B12</f>
        <v>29139.1067</v>
      </c>
      <c r="C14" s="338">
        <f>+SUMMARY!C12</f>
        <v>27051.12558</v>
      </c>
      <c r="D14" s="338">
        <f>+SUMMARY!D12</f>
        <v>0</v>
      </c>
      <c r="E14" s="338">
        <f>+SUMMARY!E12</f>
        <v>207.6</v>
      </c>
      <c r="F14" s="338">
        <f>+SUMMARY!F12</f>
        <v>1934.668467</v>
      </c>
      <c r="G14" s="338">
        <f>+SUMMARY!G12</f>
        <v>-54.28735136</v>
      </c>
      <c r="H14" s="375" t="str">
        <f>+SUMMARY!H12</f>
        <v/>
      </c>
      <c r="I14" s="376">
        <f t="shared" si="1"/>
        <v>0.007124446269</v>
      </c>
      <c r="J14" s="378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Z14" s="379"/>
      <c r="AA14" s="379"/>
      <c r="AB14" s="379"/>
      <c r="AC14" s="379"/>
      <c r="AD14" s="379"/>
    </row>
    <row r="15" ht="38.25" customHeight="1">
      <c r="A15" s="374">
        <f>+SUMMARY!A13</f>
        <v>44484</v>
      </c>
      <c r="B15" s="338">
        <f>+SUMMARY!B13</f>
        <v>25127.5583</v>
      </c>
      <c r="C15" s="338">
        <f>+SUMMARY!C13</f>
        <v>22934.78424</v>
      </c>
      <c r="D15" s="338">
        <f>+SUMMARY!D13</f>
        <v>0</v>
      </c>
      <c r="E15" s="338">
        <f>+SUMMARY!E13</f>
        <v>94.2</v>
      </c>
      <c r="F15" s="338">
        <f>+SUMMARY!F13</f>
        <v>2276.860659</v>
      </c>
      <c r="G15" s="338">
        <f>+SUMMARY!G13</f>
        <v>-178.2865967</v>
      </c>
      <c r="H15" s="375" t="str">
        <f>+SUMMARY!H13</f>
        <v>#REF!</v>
      </c>
      <c r="I15" s="376">
        <f t="shared" si="1"/>
        <v>0.00374887201</v>
      </c>
      <c r="J15" s="341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  <c r="AA15" s="327"/>
      <c r="AB15" s="327"/>
      <c r="AC15" s="327"/>
      <c r="AD15" s="327"/>
    </row>
    <row r="16" ht="38.25" customHeight="1">
      <c r="A16" s="374">
        <f>+SUMMARY!A14</f>
        <v>44485</v>
      </c>
      <c r="B16" s="338">
        <f>+SUMMARY!B14</f>
        <v>46811.4148</v>
      </c>
      <c r="C16" s="338">
        <f>+SUMMARY!C14</f>
        <v>38437.22167</v>
      </c>
      <c r="D16" s="338">
        <f>+SUMMARY!D14</f>
        <v>0</v>
      </c>
      <c r="E16" s="338">
        <f>+SUMMARY!E14</f>
        <v>244.8</v>
      </c>
      <c r="F16" s="338">
        <f>+SUMMARY!F14</f>
        <v>3218.349179</v>
      </c>
      <c r="G16" s="338">
        <f>+SUMMARY!G14</f>
        <v>4911.043949</v>
      </c>
      <c r="H16" s="375" t="str">
        <f>+SUMMARY!H14</f>
        <v/>
      </c>
      <c r="I16" s="376">
        <f t="shared" si="1"/>
        <v>0.005229493726</v>
      </c>
      <c r="J16" s="341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  <c r="AA16" s="327"/>
      <c r="AB16" s="327"/>
      <c r="AC16" s="327"/>
      <c r="AD16" s="327"/>
    </row>
    <row r="17" ht="38.25" customHeight="1">
      <c r="A17" s="374">
        <f>+SUMMARY!A15</f>
        <v>44487</v>
      </c>
      <c r="B17" s="338">
        <f>+SUMMARY!B15</f>
        <v>38792.0016</v>
      </c>
      <c r="C17" s="338">
        <f>+SUMMARY!C15</f>
        <v>34357.13834</v>
      </c>
      <c r="D17" s="338">
        <f>+SUMMARY!D15</f>
        <v>0</v>
      </c>
      <c r="E17" s="338">
        <f>+SUMMARY!E15</f>
        <v>206.4</v>
      </c>
      <c r="F17" s="338">
        <f>+SUMMARY!F15</f>
        <v>3209.832538</v>
      </c>
      <c r="G17" s="338">
        <f>+SUMMARY!G15</f>
        <v>1018.630718</v>
      </c>
      <c r="H17" s="375" t="str">
        <f>+SUMMARY!H15</f>
        <v/>
      </c>
      <c r="I17" s="376">
        <f t="shared" si="1"/>
        <v>0.005320684458</v>
      </c>
      <c r="J17" s="341"/>
      <c r="K17" s="327"/>
      <c r="L17" s="327"/>
      <c r="M17" s="327"/>
      <c r="N17" s="327"/>
      <c r="O17" s="327"/>
      <c r="P17" s="327"/>
      <c r="Q17" s="327"/>
      <c r="R17" s="327"/>
      <c r="S17" s="327"/>
      <c r="T17" s="327"/>
      <c r="U17" s="327"/>
      <c r="V17" s="327"/>
      <c r="W17" s="327"/>
      <c r="X17" s="327"/>
      <c r="Y17" s="327"/>
      <c r="Z17" s="327"/>
      <c r="AA17" s="327"/>
      <c r="AB17" s="327"/>
      <c r="AC17" s="327"/>
      <c r="AD17" s="327"/>
    </row>
    <row r="18" ht="38.25" customHeight="1">
      <c r="A18" s="374">
        <f>+SUMMARY!A16</f>
        <v>44488</v>
      </c>
      <c r="B18" s="338">
        <f>+SUMMARY!B16</f>
        <v>31555.9676</v>
      </c>
      <c r="C18" s="338">
        <f>+SUMMARY!C16</f>
        <v>818.289475</v>
      </c>
      <c r="D18" s="338">
        <f>+SUMMARY!D16</f>
        <v>0</v>
      </c>
      <c r="E18" s="338">
        <f>+SUMMARY!E16</f>
        <v>180.6</v>
      </c>
      <c r="F18" s="338">
        <f>+SUMMARY!F16</f>
        <v>2563.616784</v>
      </c>
      <c r="G18" s="338">
        <f>+SUMMARY!G16</f>
        <v>27993.46134</v>
      </c>
      <c r="H18" s="375" t="str">
        <f>+SUMMARY!H16</f>
        <v/>
      </c>
      <c r="I18" s="376">
        <f t="shared" si="1"/>
        <v>0.005723164705</v>
      </c>
      <c r="J18" s="341"/>
      <c r="K18" s="327"/>
      <c r="L18" s="327"/>
      <c r="M18" s="327"/>
      <c r="N18" s="327"/>
      <c r="O18" s="327"/>
      <c r="P18" s="327"/>
      <c r="Q18" s="327"/>
      <c r="R18" s="327"/>
      <c r="S18" s="327"/>
      <c r="T18" s="327"/>
      <c r="U18" s="327"/>
      <c r="V18" s="327"/>
      <c r="W18" s="327"/>
      <c r="X18" s="327"/>
      <c r="Y18" s="327"/>
      <c r="Z18" s="327"/>
      <c r="AA18" s="327"/>
      <c r="AB18" s="327"/>
      <c r="AC18" s="327"/>
      <c r="AD18" s="327"/>
    </row>
    <row r="19" ht="38.25" customHeight="1">
      <c r="A19" s="374">
        <f>+SUMMARY!A17</f>
        <v>44490</v>
      </c>
      <c r="B19" s="338">
        <f>+SUMMARY!B17</f>
        <v>46455.7484</v>
      </c>
      <c r="C19" s="338">
        <f>+SUMMARY!C17</f>
        <v>40703.4947</v>
      </c>
      <c r="D19" s="338">
        <f>+SUMMARY!D17</f>
        <v>0</v>
      </c>
      <c r="E19" s="338">
        <f>+SUMMARY!E17</f>
        <v>258.6</v>
      </c>
      <c r="F19" s="338">
        <f>+SUMMARY!F17</f>
        <v>3517.871898</v>
      </c>
      <c r="G19" s="338">
        <f>+SUMMARY!G17</f>
        <v>1975.781802</v>
      </c>
      <c r="H19" s="375" t="str">
        <f>+SUMMARY!H17</f>
        <v/>
      </c>
      <c r="I19" s="376">
        <f t="shared" si="1"/>
        <v>0.005566587751</v>
      </c>
      <c r="J19" s="341"/>
      <c r="K19" s="327"/>
      <c r="L19" s="327"/>
      <c r="M19" s="327"/>
      <c r="N19" s="327"/>
      <c r="O19" s="327"/>
      <c r="P19" s="327"/>
      <c r="Q19" s="327"/>
      <c r="R19" s="327"/>
      <c r="S19" s="327"/>
      <c r="T19" s="327"/>
      <c r="U19" s="327"/>
      <c r="V19" s="327"/>
      <c r="W19" s="327"/>
      <c r="X19" s="327"/>
      <c r="Y19" s="327"/>
      <c r="Z19" s="327"/>
      <c r="AA19" s="327"/>
      <c r="AB19" s="327"/>
      <c r="AC19" s="327"/>
      <c r="AD19" s="327"/>
    </row>
    <row r="20" ht="38.25" customHeight="1">
      <c r="A20" s="374">
        <f>+SUMMARY!A18</f>
        <v>44491</v>
      </c>
      <c r="B20" s="338">
        <f>+SUMMARY!B18</f>
        <v>22070.643</v>
      </c>
      <c r="C20" s="338">
        <f>+SUMMARY!C18</f>
        <v>19308.82985</v>
      </c>
      <c r="D20" s="338">
        <f>+SUMMARY!D18</f>
        <v>0</v>
      </c>
      <c r="E20" s="338">
        <f>+SUMMARY!E18</f>
        <v>168.6</v>
      </c>
      <c r="F20" s="338">
        <f>+SUMMARY!F18</f>
        <v>1873.574522</v>
      </c>
      <c r="G20" s="338">
        <f>+SUMMARY!G18</f>
        <v>719.6386305</v>
      </c>
      <c r="H20" s="375" t="str">
        <f>+SUMMARY!H18</f>
        <v/>
      </c>
      <c r="I20" s="376">
        <f t="shared" si="1"/>
        <v>0.007639106844</v>
      </c>
      <c r="J20" s="341"/>
      <c r="K20" s="327"/>
      <c r="L20" s="327"/>
      <c r="M20" s="327"/>
      <c r="N20" s="327"/>
      <c r="O20" s="327"/>
      <c r="P20" s="327"/>
      <c r="Q20" s="327"/>
      <c r="R20" s="327"/>
      <c r="S20" s="327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</row>
    <row r="21" ht="38.25" customHeight="1">
      <c r="A21" s="374">
        <f>+SUMMARY!A19</f>
        <v>44492</v>
      </c>
      <c r="B21" s="338">
        <f>+SUMMARY!B19</f>
        <v>4056.858</v>
      </c>
      <c r="C21" s="338">
        <f>+SUMMARY!C19</f>
        <v>3541.854918</v>
      </c>
      <c r="D21" s="338">
        <f>+SUMMARY!D19</f>
        <v>0</v>
      </c>
      <c r="E21" s="338">
        <f>+SUMMARY!E19</f>
        <v>68.4</v>
      </c>
      <c r="F21" s="338">
        <f>+SUMMARY!F19</f>
        <v>234.1526054</v>
      </c>
      <c r="G21" s="338">
        <f>+SUMMARY!G19</f>
        <v>212.4504771</v>
      </c>
      <c r="H21" s="375" t="str">
        <f>+SUMMARY!H19</f>
        <v/>
      </c>
      <c r="I21" s="376">
        <f t="shared" si="1"/>
        <v>0.01686033872</v>
      </c>
      <c r="J21" s="341"/>
      <c r="K21" s="327"/>
      <c r="L21" s="327"/>
      <c r="M21" s="327"/>
      <c r="N21" s="327"/>
      <c r="O21" s="327"/>
      <c r="P21" s="327"/>
      <c r="Q21" s="327"/>
      <c r="R21" s="327"/>
      <c r="S21" s="327"/>
      <c r="T21" s="327"/>
      <c r="U21" s="327"/>
      <c r="V21" s="327"/>
      <c r="W21" s="327"/>
      <c r="X21" s="327"/>
      <c r="Y21" s="327"/>
      <c r="Z21" s="327"/>
      <c r="AA21" s="327"/>
      <c r="AB21" s="327"/>
      <c r="AC21" s="327"/>
      <c r="AD21" s="327"/>
    </row>
    <row r="22" ht="38.25" customHeight="1">
      <c r="A22" s="374">
        <f>+SUMMARY!A20</f>
        <v>44494</v>
      </c>
      <c r="B22" s="338">
        <f>+SUMMARY!B20</f>
        <v>34921.967</v>
      </c>
      <c r="C22" s="338">
        <f>+SUMMARY!C20</f>
        <v>30852.42275</v>
      </c>
      <c r="D22" s="338">
        <f>+SUMMARY!D20</f>
        <v>0</v>
      </c>
      <c r="E22" s="338">
        <f>+SUMMARY!E20</f>
        <v>185.4</v>
      </c>
      <c r="F22" s="338">
        <f>+SUMMARY!F20</f>
        <v>2306.091097</v>
      </c>
      <c r="G22" s="338">
        <f>+SUMMARY!G20</f>
        <v>1578.053158</v>
      </c>
      <c r="H22" s="375" t="str">
        <f>+SUMMARY!H20</f>
        <v/>
      </c>
      <c r="I22" s="376">
        <f t="shared" si="1"/>
        <v>0.005308979302</v>
      </c>
      <c r="J22" s="341"/>
      <c r="K22" s="327"/>
      <c r="L22" s="327"/>
      <c r="M22" s="327"/>
      <c r="N22" s="327"/>
      <c r="O22" s="327"/>
      <c r="P22" s="327"/>
      <c r="Q22" s="327"/>
      <c r="R22" s="327"/>
      <c r="S22" s="327"/>
      <c r="T22" s="327"/>
      <c r="U22" s="327"/>
      <c r="V22" s="327"/>
      <c r="W22" s="327"/>
      <c r="X22" s="327"/>
      <c r="Y22" s="327"/>
      <c r="Z22" s="327"/>
      <c r="AA22" s="327"/>
      <c r="AB22" s="327"/>
      <c r="AC22" s="327"/>
      <c r="AD22" s="327"/>
    </row>
    <row r="23" ht="38.25" customHeight="1">
      <c r="A23" s="374">
        <f>+SUMMARY!A21</f>
        <v>44495</v>
      </c>
      <c r="B23" s="338">
        <f>+SUMMARY!B21</f>
        <v>17735.62872</v>
      </c>
      <c r="C23" s="338">
        <f>+SUMMARY!C21</f>
        <v>15473.20758</v>
      </c>
      <c r="D23" s="338">
        <f>+SUMMARY!D21</f>
        <v>0</v>
      </c>
      <c r="E23" s="338">
        <f>+SUMMARY!E21</f>
        <v>174.6</v>
      </c>
      <c r="F23" s="338">
        <f>+SUMMARY!F21</f>
        <v>1307.115837</v>
      </c>
      <c r="G23" s="338">
        <f>+SUMMARY!G21</f>
        <v>780.7053053</v>
      </c>
      <c r="H23" s="375" t="str">
        <f>+SUMMARY!H21</f>
        <v/>
      </c>
      <c r="I23" s="376">
        <f t="shared" si="1"/>
        <v>0.009844590387</v>
      </c>
      <c r="J23" s="341"/>
      <c r="K23" s="327"/>
      <c r="L23" s="327"/>
      <c r="M23" s="327"/>
      <c r="N23" s="327"/>
      <c r="O23" s="327"/>
      <c r="P23" s="327"/>
      <c r="Q23" s="327"/>
      <c r="R23" s="327"/>
      <c r="S23" s="327"/>
      <c r="T23" s="327"/>
      <c r="U23" s="327"/>
      <c r="V23" s="327"/>
      <c r="W23" s="327"/>
      <c r="X23" s="327"/>
      <c r="Y23" s="327"/>
      <c r="Z23" s="327"/>
      <c r="AA23" s="327"/>
      <c r="AB23" s="327"/>
      <c r="AC23" s="327"/>
      <c r="AD23" s="327"/>
    </row>
    <row r="24" ht="38.25" customHeight="1">
      <c r="A24" s="374">
        <f>+SUMMARY!A22</f>
        <v>44497</v>
      </c>
      <c r="B24" s="338">
        <f>+SUMMARY!B22</f>
        <v>32177.423</v>
      </c>
      <c r="C24" s="338">
        <f>+SUMMARY!C22</f>
        <v>28739.91616</v>
      </c>
      <c r="D24" s="338">
        <f>+SUMMARY!D22</f>
        <v>0</v>
      </c>
      <c r="E24" s="338">
        <f>+SUMMARY!E22</f>
        <v>107.4</v>
      </c>
      <c r="F24" s="338">
        <f>+SUMMARY!F22</f>
        <v>2287.966905</v>
      </c>
      <c r="G24" s="338">
        <f>+SUMMARY!G22</f>
        <v>1042.139937</v>
      </c>
      <c r="H24" s="375" t="str">
        <f>+SUMMARY!H22</f>
        <v/>
      </c>
      <c r="I24" s="376">
        <f t="shared" si="1"/>
        <v>0.003337743983</v>
      </c>
      <c r="J24" s="341"/>
      <c r="K24" s="327"/>
      <c r="L24" s="327"/>
      <c r="M24" s="327"/>
      <c r="N24" s="327"/>
      <c r="O24" s="327"/>
      <c r="P24" s="327"/>
      <c r="Q24" s="327"/>
      <c r="R24" s="327"/>
      <c r="S24" s="327"/>
      <c r="T24" s="327"/>
      <c r="U24" s="327"/>
      <c r="V24" s="327"/>
      <c r="W24" s="327"/>
      <c r="X24" s="327"/>
      <c r="Y24" s="327"/>
      <c r="Z24" s="327"/>
      <c r="AA24" s="327"/>
      <c r="AB24" s="327"/>
      <c r="AC24" s="327"/>
      <c r="AD24" s="327"/>
    </row>
    <row r="25" ht="38.25" customHeight="1">
      <c r="A25" s="374">
        <f>+SUMMARY!A23</f>
        <v>44498</v>
      </c>
      <c r="B25" s="338">
        <f>+SUMMARY!B23</f>
        <v>29056.934</v>
      </c>
      <c r="C25" s="338">
        <f>+SUMMARY!C23</f>
        <v>26882.84601</v>
      </c>
      <c r="D25" s="338">
        <f>+SUMMARY!D23</f>
        <v>0</v>
      </c>
      <c r="E25" s="338">
        <f>+SUMMARY!E23</f>
        <v>112.2</v>
      </c>
      <c r="F25" s="338">
        <f>+SUMMARY!F23</f>
        <v>1617.663151</v>
      </c>
      <c r="G25" s="338">
        <f>+SUMMARY!G23</f>
        <v>444.2248409</v>
      </c>
      <c r="H25" s="375" t="str">
        <f>+SUMMARY!H23</f>
        <v/>
      </c>
      <c r="I25" s="376">
        <f t="shared" si="1"/>
        <v>0.003861384687</v>
      </c>
      <c r="J25" s="378"/>
      <c r="K25" s="379"/>
      <c r="L25" s="379"/>
      <c r="M25" s="379"/>
      <c r="N25" s="379"/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  <c r="AD25" s="379"/>
    </row>
    <row r="26" ht="38.25" customHeight="1">
      <c r="A26" s="374" t="str">
        <f>+SUMMARY!A24</f>
        <v/>
      </c>
      <c r="B26" s="338" t="str">
        <f>+SUMMARY!B24</f>
        <v/>
      </c>
      <c r="C26" s="338" t="str">
        <f>+SUMMARY!C24</f>
        <v/>
      </c>
      <c r="D26" s="338" t="str">
        <f>+SUMMARY!D24</f>
        <v/>
      </c>
      <c r="E26" s="338" t="str">
        <f>+SUMMARY!E24</f>
        <v/>
      </c>
      <c r="F26" s="338" t="str">
        <f>+SUMMARY!F24</f>
        <v/>
      </c>
      <c r="G26" s="338" t="str">
        <f>+SUMMARY!G24</f>
        <v/>
      </c>
      <c r="H26" s="375" t="str">
        <f>+SUMMARY!H24</f>
        <v/>
      </c>
      <c r="I26" s="376" t="str">
        <f t="shared" si="1"/>
        <v>#DIV/0!</v>
      </c>
      <c r="J26" s="341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327"/>
      <c r="Z26" s="327"/>
      <c r="AA26" s="327"/>
      <c r="AB26" s="327"/>
      <c r="AC26" s="327"/>
      <c r="AD26" s="327"/>
    </row>
    <row r="27" ht="38.25" customHeight="1">
      <c r="A27" s="374" t="str">
        <f>+SUMMARY!A25</f>
        <v/>
      </c>
      <c r="B27" s="338" t="str">
        <f>+SUMMARY!B25</f>
        <v/>
      </c>
      <c r="C27" s="338" t="str">
        <f>+SUMMARY!C25</f>
        <v/>
      </c>
      <c r="D27" s="338" t="str">
        <f>+SUMMARY!D25</f>
        <v/>
      </c>
      <c r="E27" s="338" t="str">
        <f>+SUMMARY!E25</f>
        <v/>
      </c>
      <c r="F27" s="338" t="str">
        <f>+SUMMARY!F25</f>
        <v/>
      </c>
      <c r="G27" s="338" t="str">
        <f>+SUMMARY!G25</f>
        <v/>
      </c>
      <c r="H27" s="375" t="str">
        <f>+SUMMARY!H25</f>
        <v/>
      </c>
      <c r="I27" s="376" t="str">
        <f t="shared" si="1"/>
        <v>#DIV/0!</v>
      </c>
      <c r="J27" s="341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</row>
    <row r="28" ht="38.25" customHeight="1">
      <c r="A28" s="374" t="str">
        <f>+SUMMARY!A26</f>
        <v/>
      </c>
      <c r="B28" s="338" t="str">
        <f>+SUMMARY!B26</f>
        <v/>
      </c>
      <c r="C28" s="338" t="str">
        <f>+SUMMARY!C26</f>
        <v/>
      </c>
      <c r="D28" s="338" t="str">
        <f>+SUMMARY!D26</f>
        <v/>
      </c>
      <c r="E28" s="338" t="str">
        <f>+SUMMARY!E26</f>
        <v/>
      </c>
      <c r="F28" s="338" t="str">
        <f>+SUMMARY!F26</f>
        <v/>
      </c>
      <c r="G28" s="338" t="str">
        <f>+SUMMARY!G26</f>
        <v/>
      </c>
      <c r="H28" s="375" t="str">
        <f>+SUMMARY!H26</f>
        <v/>
      </c>
      <c r="I28" s="376" t="str">
        <f t="shared" si="1"/>
        <v>#DIV/0!</v>
      </c>
      <c r="J28" s="341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7"/>
      <c r="AC28" s="327"/>
      <c r="AD28" s="327"/>
    </row>
    <row r="29" ht="38.25" customHeight="1">
      <c r="A29" s="374" t="str">
        <f>+SUMMARY!A27</f>
        <v/>
      </c>
      <c r="B29" s="338" t="str">
        <f>+SUMMARY!B27</f>
        <v/>
      </c>
      <c r="C29" s="338" t="str">
        <f>+SUMMARY!C27</f>
        <v/>
      </c>
      <c r="D29" s="338" t="str">
        <f>+SUMMARY!D27</f>
        <v/>
      </c>
      <c r="E29" s="338" t="str">
        <f>+SUMMARY!E27</f>
        <v/>
      </c>
      <c r="F29" s="338" t="str">
        <f>+SUMMARY!F27</f>
        <v/>
      </c>
      <c r="G29" s="338" t="str">
        <f>+SUMMARY!G27</f>
        <v/>
      </c>
      <c r="H29" s="375" t="str">
        <f>+SUMMARY!H27</f>
        <v/>
      </c>
      <c r="I29" s="376" t="str">
        <f t="shared" si="1"/>
        <v>#DIV/0!</v>
      </c>
      <c r="J29" s="341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7"/>
      <c r="AC29" s="327"/>
      <c r="AD29" s="327"/>
    </row>
    <row r="30" ht="38.25" customHeight="1">
      <c r="A30" s="374" t="str">
        <f>+SUMMARY!A28</f>
        <v/>
      </c>
      <c r="B30" s="338" t="str">
        <f>+SUMMARY!B28</f>
        <v/>
      </c>
      <c r="C30" s="338" t="str">
        <f>+SUMMARY!C28</f>
        <v/>
      </c>
      <c r="D30" s="338" t="str">
        <f>+SUMMARY!D28</f>
        <v/>
      </c>
      <c r="E30" s="338" t="str">
        <f>+SUMMARY!E28</f>
        <v/>
      </c>
      <c r="F30" s="338" t="str">
        <f>+SUMMARY!F28</f>
        <v/>
      </c>
      <c r="G30" s="338" t="str">
        <f>+SUMMARY!G28</f>
        <v/>
      </c>
      <c r="H30" s="375" t="str">
        <f>+SUMMARY!H28</f>
        <v/>
      </c>
      <c r="I30" s="376" t="str">
        <f t="shared" si="1"/>
        <v>#DIV/0!</v>
      </c>
      <c r="J30" s="341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7"/>
      <c r="AC30" s="327"/>
      <c r="AD30" s="327"/>
    </row>
    <row r="31" ht="38.25" customHeight="1">
      <c r="A31" s="374" t="str">
        <f>+SUMMARY!A29</f>
        <v/>
      </c>
      <c r="B31" s="338" t="str">
        <f>+SUMMARY!B29</f>
        <v/>
      </c>
      <c r="C31" s="338" t="str">
        <f>+SUMMARY!C29</f>
        <v/>
      </c>
      <c r="D31" s="338" t="str">
        <f>+SUMMARY!D29</f>
        <v/>
      </c>
      <c r="E31" s="338" t="str">
        <f>+SUMMARY!E29</f>
        <v/>
      </c>
      <c r="F31" s="338" t="str">
        <f>+SUMMARY!F29</f>
        <v/>
      </c>
      <c r="G31" s="338" t="str">
        <f>+SUMMARY!G29</f>
        <v/>
      </c>
      <c r="H31" s="375" t="str">
        <f>+SUMMARY!H29</f>
        <v/>
      </c>
      <c r="I31" s="376" t="str">
        <f t="shared" si="1"/>
        <v>#DIV/0!</v>
      </c>
      <c r="J31" s="341"/>
      <c r="K31" s="327"/>
      <c r="L31" s="327"/>
      <c r="M31" s="327"/>
      <c r="N31" s="327"/>
      <c r="O31" s="327"/>
      <c r="P31" s="327"/>
      <c r="Q31" s="327"/>
      <c r="R31" s="327"/>
      <c r="S31" s="327"/>
      <c r="T31" s="327"/>
      <c r="U31" s="327"/>
      <c r="V31" s="327"/>
      <c r="W31" s="327"/>
      <c r="X31" s="327"/>
      <c r="Y31" s="327"/>
      <c r="Z31" s="327"/>
      <c r="AA31" s="327"/>
      <c r="AB31" s="327"/>
      <c r="AC31" s="327"/>
      <c r="AD31" s="327"/>
    </row>
    <row r="32" ht="38.25" customHeight="1">
      <c r="A32" s="374" t="str">
        <f>+SUMMARY!A30</f>
        <v/>
      </c>
      <c r="B32" s="338" t="str">
        <f>+SUMMARY!B30</f>
        <v/>
      </c>
      <c r="C32" s="338" t="str">
        <f>+SUMMARY!C30</f>
        <v/>
      </c>
      <c r="D32" s="338" t="str">
        <f>+SUMMARY!D30</f>
        <v/>
      </c>
      <c r="E32" s="338" t="str">
        <f>+SUMMARY!E30</f>
        <v/>
      </c>
      <c r="F32" s="338" t="str">
        <f>+SUMMARY!F30</f>
        <v/>
      </c>
      <c r="G32" s="338" t="str">
        <f>+SUMMARY!G30</f>
        <v/>
      </c>
      <c r="H32" s="375" t="str">
        <f>+SUMMARY!H30</f>
        <v/>
      </c>
      <c r="I32" s="376" t="str">
        <f t="shared" si="1"/>
        <v>#DIV/0!</v>
      </c>
      <c r="J32" s="341"/>
      <c r="K32" s="327"/>
      <c r="L32" s="327"/>
      <c r="M32" s="327"/>
      <c r="N32" s="327"/>
      <c r="O32" s="327"/>
      <c r="P32" s="327"/>
      <c r="Q32" s="327"/>
      <c r="R32" s="327"/>
      <c r="S32" s="327"/>
      <c r="T32" s="327"/>
      <c r="U32" s="327"/>
      <c r="V32" s="327"/>
      <c r="W32" s="327"/>
      <c r="X32" s="327"/>
      <c r="Y32" s="327"/>
      <c r="Z32" s="327"/>
      <c r="AA32" s="327"/>
      <c r="AB32" s="327"/>
      <c r="AC32" s="327"/>
      <c r="AD32" s="327"/>
    </row>
    <row r="33" ht="38.25" customHeight="1">
      <c r="A33" s="374" t="str">
        <f>+SUMMARY!A31</f>
        <v/>
      </c>
      <c r="B33" s="338" t="str">
        <f>+SUMMARY!B31</f>
        <v/>
      </c>
      <c r="C33" s="338" t="str">
        <f>+SUMMARY!C31</f>
        <v/>
      </c>
      <c r="D33" s="338" t="str">
        <f>+SUMMARY!D31</f>
        <v/>
      </c>
      <c r="E33" s="338" t="str">
        <f>+SUMMARY!E31</f>
        <v/>
      </c>
      <c r="F33" s="338" t="str">
        <f>+SUMMARY!F31</f>
        <v/>
      </c>
      <c r="G33" s="338" t="str">
        <f>+SUMMARY!G31</f>
        <v/>
      </c>
      <c r="H33" s="375" t="str">
        <f>+SUMMARY!H31</f>
        <v/>
      </c>
      <c r="I33" s="376" t="str">
        <f t="shared" si="1"/>
        <v>#DIV/0!</v>
      </c>
      <c r="J33" s="341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</row>
    <row r="34" ht="38.25" customHeight="1">
      <c r="A34" s="374" t="str">
        <f>+SUMMARY!A32</f>
        <v/>
      </c>
      <c r="B34" s="338" t="str">
        <f>+SUMMARY!B32</f>
        <v/>
      </c>
      <c r="C34" s="338" t="str">
        <f>+SUMMARY!C32</f>
        <v/>
      </c>
      <c r="D34" s="338" t="str">
        <f>+SUMMARY!D32</f>
        <v/>
      </c>
      <c r="E34" s="338" t="str">
        <f>+SUMMARY!E32</f>
        <v/>
      </c>
      <c r="F34" s="338" t="str">
        <f>+SUMMARY!F32</f>
        <v/>
      </c>
      <c r="G34" s="338" t="str">
        <f>+SUMMARY!G32</f>
        <v/>
      </c>
      <c r="H34" s="375" t="str">
        <f>+SUMMARY!H32</f>
        <v/>
      </c>
      <c r="I34" s="376" t="str">
        <f t="shared" si="1"/>
        <v>#DIV/0!</v>
      </c>
      <c r="J34" s="341"/>
      <c r="K34" s="327"/>
      <c r="L34" s="327"/>
      <c r="M34" s="327"/>
      <c r="N34" s="327"/>
      <c r="O34" s="327"/>
      <c r="P34" s="327"/>
      <c r="Q34" s="327"/>
      <c r="R34" s="327"/>
      <c r="S34" s="327"/>
      <c r="T34" s="327"/>
      <c r="U34" s="327"/>
      <c r="V34" s="327"/>
      <c r="W34" s="327"/>
      <c r="X34" s="327"/>
      <c r="Y34" s="327"/>
      <c r="Z34" s="327"/>
      <c r="AA34" s="327"/>
      <c r="AB34" s="327"/>
      <c r="AC34" s="327"/>
      <c r="AD34" s="327"/>
    </row>
    <row r="35" ht="38.25" customHeight="1">
      <c r="A35" s="374" t="str">
        <f>+SUMMARY!A33</f>
        <v/>
      </c>
      <c r="B35" s="338" t="str">
        <f>+SUMMARY!B33</f>
        <v/>
      </c>
      <c r="C35" s="338" t="str">
        <f>+SUMMARY!C33</f>
        <v/>
      </c>
      <c r="D35" s="338" t="str">
        <f>+SUMMARY!D33</f>
        <v/>
      </c>
      <c r="E35" s="338" t="str">
        <f>+SUMMARY!E33</f>
        <v/>
      </c>
      <c r="F35" s="338" t="str">
        <f>+SUMMARY!F33</f>
        <v/>
      </c>
      <c r="G35" s="338" t="str">
        <f>+SUMMARY!G33</f>
        <v/>
      </c>
      <c r="H35" s="375" t="str">
        <f>+SUMMARY!H33</f>
        <v/>
      </c>
      <c r="I35" s="376" t="str">
        <f t="shared" si="1"/>
        <v>#DIV/0!</v>
      </c>
      <c r="J35" s="341"/>
      <c r="K35" s="327"/>
      <c r="L35" s="327"/>
      <c r="M35" s="327"/>
      <c r="N35" s="327"/>
      <c r="O35" s="327"/>
      <c r="P35" s="327"/>
      <c r="Q35" s="327"/>
      <c r="R35" s="327"/>
      <c r="S35" s="327"/>
      <c r="T35" s="327"/>
      <c r="U35" s="327"/>
      <c r="V35" s="327"/>
      <c r="W35" s="327"/>
      <c r="X35" s="327"/>
      <c r="Y35" s="327"/>
      <c r="Z35" s="327"/>
      <c r="AA35" s="327"/>
      <c r="AB35" s="327"/>
      <c r="AC35" s="327"/>
      <c r="AD35" s="327"/>
    </row>
    <row r="36" ht="38.25" customHeight="1">
      <c r="A36" s="374" t="str">
        <f>+SUMMARY!A34</f>
        <v/>
      </c>
      <c r="B36" s="338" t="str">
        <f>+SUMMARY!B34</f>
        <v/>
      </c>
      <c r="C36" s="338" t="str">
        <f>+SUMMARY!C34</f>
        <v/>
      </c>
      <c r="D36" s="338" t="str">
        <f>+SUMMARY!D34</f>
        <v/>
      </c>
      <c r="E36" s="338" t="str">
        <f>+SUMMARY!E34</f>
        <v/>
      </c>
      <c r="F36" s="338" t="str">
        <f>+SUMMARY!F34</f>
        <v/>
      </c>
      <c r="G36" s="338" t="str">
        <f>+SUMMARY!G34</f>
        <v/>
      </c>
      <c r="H36" s="375" t="str">
        <f>+SUMMARY!H34</f>
        <v/>
      </c>
      <c r="I36" s="376" t="str">
        <f t="shared" si="1"/>
        <v>#DIV/0!</v>
      </c>
      <c r="J36" s="341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327"/>
      <c r="W36" s="327"/>
      <c r="X36" s="327"/>
      <c r="Y36" s="327"/>
      <c r="Z36" s="327"/>
      <c r="AA36" s="327"/>
      <c r="AB36" s="327"/>
      <c r="AC36" s="327"/>
      <c r="AD36" s="327"/>
    </row>
    <row r="37" ht="38.25" customHeight="1">
      <c r="A37" s="374" t="str">
        <f>+SUMMARY!A35</f>
        <v/>
      </c>
      <c r="B37" s="338" t="str">
        <f>+SUMMARY!B35</f>
        <v/>
      </c>
      <c r="C37" s="338" t="str">
        <f>+SUMMARY!C35</f>
        <v/>
      </c>
      <c r="D37" s="338" t="str">
        <f>+SUMMARY!D35</f>
        <v/>
      </c>
      <c r="E37" s="338" t="str">
        <f>+SUMMARY!E35</f>
        <v/>
      </c>
      <c r="F37" s="338" t="str">
        <f>+SUMMARY!F35</f>
        <v/>
      </c>
      <c r="G37" s="338" t="str">
        <f>+SUMMARY!G35</f>
        <v/>
      </c>
      <c r="H37" s="375" t="str">
        <f>+SUMMARY!H35</f>
        <v/>
      </c>
      <c r="I37" s="376" t="str">
        <f t="shared" si="1"/>
        <v>#DIV/0!</v>
      </c>
      <c r="J37" s="341"/>
      <c r="K37" s="327"/>
      <c r="L37" s="327"/>
      <c r="M37" s="327"/>
      <c r="N37" s="327"/>
      <c r="O37" s="327"/>
      <c r="P37" s="327"/>
      <c r="Q37" s="327"/>
      <c r="R37" s="327"/>
      <c r="S37" s="327"/>
      <c r="T37" s="327"/>
      <c r="U37" s="327"/>
      <c r="V37" s="327"/>
      <c r="W37" s="327"/>
      <c r="X37" s="327"/>
      <c r="Y37" s="327"/>
      <c r="Z37" s="327"/>
      <c r="AA37" s="327"/>
      <c r="AB37" s="327"/>
      <c r="AC37" s="327"/>
      <c r="AD37" s="327"/>
    </row>
    <row r="38" ht="30.0" customHeight="1">
      <c r="A38" s="344" t="s">
        <v>133</v>
      </c>
      <c r="B38" s="380" t="str">
        <f t="shared" ref="B38:G38" si="2">SUM(B8:B37)</f>
        <v>#ERROR!</v>
      </c>
      <c r="C38" s="380" t="str">
        <f t="shared" si="2"/>
        <v>#ERROR!</v>
      </c>
      <c r="D38" s="380" t="str">
        <f t="shared" si="2"/>
        <v>#ERROR!</v>
      </c>
      <c r="E38" s="380" t="str">
        <f t="shared" si="2"/>
        <v>#ERROR!</v>
      </c>
      <c r="F38" s="380" t="str">
        <f t="shared" si="2"/>
        <v>#ERROR!</v>
      </c>
      <c r="G38" s="380" t="str">
        <f t="shared" si="2"/>
        <v>#ERROR!</v>
      </c>
      <c r="H38" s="381" t="str">
        <f>+SUMMARY!H36</f>
        <v/>
      </c>
      <c r="I38" s="382" t="str">
        <f t="shared" si="1"/>
        <v>#ERROR!</v>
      </c>
      <c r="J38" s="348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  <c r="AA38" s="327"/>
      <c r="AB38" s="327"/>
      <c r="AC38" s="327"/>
      <c r="AD38" s="327"/>
    </row>
    <row r="39" ht="30.0" customHeight="1">
      <c r="A39" s="383" t="s">
        <v>49</v>
      </c>
      <c r="B39" s="384"/>
      <c r="C39" s="385" t="str">
        <f>+C38/B38</f>
        <v>#ERROR!</v>
      </c>
      <c r="D39" s="385" t="str">
        <f>+D38/B38</f>
        <v>#ERROR!</v>
      </c>
      <c r="E39" s="386" t="str">
        <f>+E38/B38</f>
        <v>#ERROR!</v>
      </c>
      <c r="F39" s="351" t="str">
        <f>+F38/B38</f>
        <v>#ERROR!</v>
      </c>
      <c r="G39" s="351" t="str">
        <f>+G38/B38</f>
        <v>#ERROR!</v>
      </c>
      <c r="H39" s="387" t="str">
        <f>+SUMMARY!H37</f>
        <v/>
      </c>
      <c r="I39" s="367"/>
      <c r="J39" s="355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ht="33.75" customHeight="1">
      <c r="A40" s="388" t="s">
        <v>134</v>
      </c>
      <c r="B40" s="389"/>
      <c r="C40" s="390"/>
      <c r="D40" s="390">
        <v>0.0053</v>
      </c>
      <c r="E40" s="390">
        <v>0.0084</v>
      </c>
      <c r="F40" s="390"/>
      <c r="G40" s="391">
        <v>0.0061</v>
      </c>
      <c r="H40" s="392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ht="40.5" customHeight="1">
      <c r="A41" s="361"/>
      <c r="B41" s="327"/>
      <c r="C41" s="327"/>
      <c r="D41" s="327" t="s">
        <v>135</v>
      </c>
      <c r="E41" s="327"/>
      <c r="F41" s="362" t="str">
        <f>+D38+E38+F38+G38</f>
        <v>#ERROR!</v>
      </c>
      <c r="G41" s="327"/>
      <c r="H41" s="363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</row>
    <row r="42" ht="23.25" customHeight="1">
      <c r="A42" s="361"/>
      <c r="B42" s="327"/>
      <c r="C42" s="327"/>
      <c r="D42" s="327" t="s">
        <v>136</v>
      </c>
      <c r="E42" s="327"/>
      <c r="F42" s="364" t="str">
        <f>+F41/B38</f>
        <v>#ERROR!</v>
      </c>
      <c r="G42" s="327"/>
      <c r="H42" s="363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</row>
    <row r="43" ht="23.25" customHeight="1">
      <c r="A43" s="361"/>
      <c r="B43" s="327"/>
      <c r="C43" s="327"/>
      <c r="D43" s="327" t="s">
        <v>137</v>
      </c>
      <c r="E43" s="327"/>
      <c r="F43" s="364" t="str">
        <f t="shared" ref="F43:F44" si="3">+D39+E39+G39</f>
        <v>#ERROR!</v>
      </c>
      <c r="G43" s="327"/>
      <c r="H43" s="363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</row>
    <row r="44" ht="23.25" customHeight="1">
      <c r="A44" s="361"/>
      <c r="B44" s="327"/>
      <c r="C44" s="326" t="s">
        <v>138</v>
      </c>
      <c r="D44" s="326"/>
      <c r="E44" s="326"/>
      <c r="F44" s="330">
        <f t="shared" si="3"/>
        <v>0.0198</v>
      </c>
      <c r="G44" s="327"/>
      <c r="H44" s="363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</row>
    <row r="45" ht="23.25" customHeight="1">
      <c r="A45" s="361" t="s">
        <v>139</v>
      </c>
      <c r="B45" s="327"/>
      <c r="C45" s="327"/>
      <c r="D45" s="365">
        <v>9.0</v>
      </c>
      <c r="E45" s="327"/>
      <c r="F45" s="327"/>
      <c r="G45" s="327"/>
      <c r="H45" s="363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</row>
    <row r="46" ht="23.25" customHeight="1">
      <c r="A46" s="361"/>
      <c r="B46" s="327"/>
      <c r="C46" s="327" t="s">
        <v>140</v>
      </c>
      <c r="D46" s="366" t="str">
        <f t="shared" ref="D46:E46" si="4">+$D$45*D38</f>
        <v>#ERROR!</v>
      </c>
      <c r="E46" s="366" t="str">
        <f t="shared" si="4"/>
        <v>#ERROR!</v>
      </c>
      <c r="F46" s="366"/>
      <c r="G46" s="366" t="str">
        <f>+$D$45*G38</f>
        <v>#ERROR!</v>
      </c>
      <c r="H46" s="363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</row>
    <row r="47" ht="24.0" customHeight="1">
      <c r="A47" s="367"/>
      <c r="B47" s="368"/>
      <c r="C47" s="368"/>
      <c r="D47" s="368"/>
      <c r="E47" s="368"/>
      <c r="F47" s="368"/>
      <c r="G47" s="368"/>
      <c r="H47" s="369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</row>
    <row r="48" ht="23.25" customHeight="1">
      <c r="A48" s="327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  <c r="AA48" s="327"/>
      <c r="AB48" s="327"/>
      <c r="AC48" s="327"/>
      <c r="AD48" s="327"/>
    </row>
    <row r="49" ht="23.25" customHeight="1">
      <c r="A49" s="327"/>
      <c r="B49" s="327"/>
      <c r="C49" s="327"/>
      <c r="D49" s="327"/>
      <c r="E49" s="327"/>
      <c r="F49" s="370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  <c r="AA49" s="327"/>
      <c r="AB49" s="327"/>
      <c r="AC49" s="327"/>
      <c r="AD49" s="327"/>
    </row>
    <row r="50" ht="23.25" customHeight="1">
      <c r="A50" s="327"/>
      <c r="B50" s="327"/>
      <c r="C50" s="327"/>
      <c r="D50" s="327"/>
      <c r="E50" s="370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</row>
    <row r="51" ht="23.25" customHeight="1">
      <c r="A51" s="327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</row>
    <row r="52" ht="23.25" customHeight="1">
      <c r="A52" s="327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  <c r="AA52" s="327"/>
      <c r="AB52" s="327"/>
      <c r="AC52" s="327"/>
      <c r="AD52" s="327"/>
    </row>
    <row r="53" ht="23.25" customHeight="1">
      <c r="A53" s="327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</row>
    <row r="54" ht="23.25" customHeight="1">
      <c r="A54" s="327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</row>
    <row r="55" ht="23.25" customHeight="1">
      <c r="A55" s="327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7"/>
      <c r="M55" s="327"/>
      <c r="N55" s="327"/>
      <c r="O55" s="327"/>
      <c r="P55" s="327"/>
      <c r="Q55" s="327"/>
      <c r="R55" s="327"/>
      <c r="S55" s="327"/>
      <c r="T55" s="327"/>
      <c r="U55" s="327"/>
      <c r="V55" s="327"/>
      <c r="W55" s="327"/>
      <c r="X55" s="327"/>
      <c r="Y55" s="327"/>
      <c r="Z55" s="327"/>
      <c r="AA55" s="327"/>
      <c r="AB55" s="327"/>
      <c r="AC55" s="327"/>
      <c r="AD55" s="327"/>
    </row>
    <row r="56" ht="23.25" customHeight="1">
      <c r="A56" s="327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  <c r="AA56" s="327"/>
      <c r="AB56" s="327"/>
      <c r="AC56" s="327"/>
      <c r="AD56" s="327"/>
    </row>
    <row r="57" ht="23.25" customHeight="1">
      <c r="A57" s="327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  <c r="M57" s="327"/>
      <c r="N57" s="327"/>
      <c r="O57" s="327"/>
      <c r="P57" s="327"/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</row>
    <row r="58" ht="23.25" customHeight="1">
      <c r="A58" s="327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</row>
    <row r="59" ht="23.25" customHeight="1">
      <c r="A59" s="327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</row>
    <row r="60" ht="23.25" customHeight="1">
      <c r="A60" s="327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</row>
    <row r="61" ht="23.25" customHeight="1">
      <c r="A61" s="327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</row>
    <row r="62" ht="23.25" customHeight="1">
      <c r="A62" s="327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7"/>
      <c r="AC62" s="327"/>
      <c r="AD62" s="327"/>
    </row>
    <row r="63" ht="23.25" customHeight="1">
      <c r="A63" s="327"/>
      <c r="B63" s="327"/>
      <c r="C63" s="327"/>
      <c r="D63" s="327"/>
      <c r="E63" s="327"/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7"/>
      <c r="AC63" s="327"/>
      <c r="AD63" s="327"/>
    </row>
    <row r="64" ht="23.25" customHeight="1">
      <c r="A64" s="327"/>
      <c r="B64" s="327"/>
      <c r="C64" s="327"/>
      <c r="D64" s="327"/>
      <c r="E64" s="327"/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7"/>
      <c r="AC64" s="327"/>
      <c r="AD64" s="327"/>
    </row>
    <row r="65" ht="23.25" customHeight="1">
      <c r="A65" s="327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327"/>
      <c r="M65" s="327"/>
      <c r="N65" s="3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/>
      <c r="AB65" s="327"/>
      <c r="AC65" s="327"/>
      <c r="AD65" s="327"/>
    </row>
    <row r="66" ht="23.25" customHeight="1">
      <c r="A66" s="327"/>
      <c r="B66" s="327"/>
      <c r="C66" s="327"/>
      <c r="D66" s="327"/>
      <c r="E66" s="327"/>
      <c r="F66" s="327"/>
      <c r="G66" s="327"/>
      <c r="H66" s="327"/>
      <c r="I66" s="327"/>
      <c r="J66" s="327"/>
      <c r="K66" s="327"/>
      <c r="L66" s="327"/>
      <c r="M66" s="327"/>
      <c r="N66" s="3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/>
      <c r="AC66" s="327"/>
      <c r="AD66" s="327"/>
    </row>
    <row r="67" ht="23.25" customHeight="1">
      <c r="A67" s="327"/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</row>
    <row r="68" ht="23.25" customHeight="1">
      <c r="A68" s="327"/>
      <c r="B68" s="327"/>
      <c r="C68" s="327"/>
      <c r="D68" s="327"/>
      <c r="E68" s="327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</row>
    <row r="69" ht="23.25" customHeight="1">
      <c r="A69" s="327"/>
      <c r="B69" s="327"/>
      <c r="C69" s="327"/>
      <c r="D69" s="327"/>
      <c r="E69" s="327"/>
      <c r="F69" s="327"/>
      <c r="G69" s="327"/>
      <c r="H69" s="327"/>
      <c r="I69" s="327"/>
      <c r="J69" s="327"/>
      <c r="K69" s="327"/>
      <c r="L69" s="327"/>
      <c r="M69" s="327"/>
      <c r="N69" s="3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</row>
    <row r="70" ht="23.25" customHeight="1">
      <c r="A70" s="327"/>
      <c r="B70" s="327"/>
      <c r="C70" s="327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</row>
    <row r="71" ht="23.25" customHeight="1">
      <c r="A71" s="327"/>
      <c r="B71" s="327"/>
      <c r="C71" s="327"/>
      <c r="D71" s="327"/>
      <c r="E71" s="327"/>
      <c r="F71" s="327"/>
      <c r="G71" s="327"/>
      <c r="H71" s="327"/>
      <c r="I71" s="327"/>
      <c r="J71" s="327"/>
      <c r="K71" s="327"/>
      <c r="L71" s="327"/>
      <c r="M71" s="327"/>
      <c r="N71" s="3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27"/>
    </row>
    <row r="72" ht="23.25" customHeight="1">
      <c r="A72" s="327"/>
      <c r="B72" s="327"/>
      <c r="C72" s="327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7"/>
      <c r="T72" s="327"/>
      <c r="U72" s="327"/>
      <c r="V72" s="327"/>
      <c r="W72" s="327"/>
      <c r="X72" s="327"/>
      <c r="Y72" s="327"/>
      <c r="Z72" s="327"/>
      <c r="AA72" s="327"/>
      <c r="AB72" s="327"/>
      <c r="AC72" s="327"/>
      <c r="AD72" s="327"/>
    </row>
    <row r="73" ht="23.25" customHeight="1">
      <c r="A73" s="327"/>
      <c r="B73" s="327"/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</row>
    <row r="74" ht="23.25" customHeight="1">
      <c r="A74" s="327"/>
      <c r="B74" s="327"/>
      <c r="C74" s="327"/>
      <c r="D74" s="327"/>
      <c r="E74" s="327"/>
      <c r="F74" s="327"/>
      <c r="G74" s="327"/>
      <c r="H74" s="327"/>
      <c r="I74" s="327"/>
      <c r="J74" s="327"/>
      <c r="K74" s="327"/>
      <c r="L74" s="327"/>
      <c r="M74" s="327"/>
      <c r="N74" s="327"/>
      <c r="O74" s="327"/>
      <c r="P74" s="327"/>
      <c r="Q74" s="327"/>
      <c r="R74" s="327"/>
      <c r="S74" s="327"/>
      <c r="T74" s="327"/>
      <c r="U74" s="327"/>
      <c r="V74" s="327"/>
      <c r="W74" s="327"/>
      <c r="X74" s="327"/>
      <c r="Y74" s="327"/>
      <c r="Z74" s="327"/>
      <c r="AA74" s="327"/>
      <c r="AB74" s="327"/>
      <c r="AC74" s="327"/>
      <c r="AD74" s="327"/>
    </row>
    <row r="75" ht="23.25" customHeight="1">
      <c r="A75" s="327"/>
      <c r="B75" s="327"/>
      <c r="C75" s="327"/>
      <c r="D75" s="327"/>
      <c r="E75" s="327"/>
      <c r="F75" s="327"/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ht="23.25" customHeight="1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ht="23.25" customHeight="1">
      <c r="A77" s="327"/>
      <c r="B77" s="327"/>
      <c r="C77" s="327"/>
      <c r="D77" s="327"/>
      <c r="E77" s="327"/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  <c r="AA77" s="327"/>
      <c r="AB77" s="327"/>
      <c r="AC77" s="327"/>
      <c r="AD77" s="327"/>
    </row>
    <row r="78" ht="23.25" customHeight="1">
      <c r="A78" s="327"/>
      <c r="B78" s="327"/>
      <c r="C78" s="327"/>
      <c r="D78" s="327"/>
      <c r="E78" s="327"/>
      <c r="F78" s="327"/>
      <c r="G78" s="327"/>
      <c r="H78" s="327"/>
      <c r="I78" s="327"/>
      <c r="J78" s="327"/>
      <c r="K78" s="327"/>
      <c r="L78" s="327"/>
      <c r="M78" s="327"/>
      <c r="N78" s="327"/>
      <c r="O78" s="327"/>
      <c r="P78" s="327"/>
      <c r="Q78" s="327"/>
      <c r="R78" s="327"/>
      <c r="S78" s="327"/>
      <c r="T78" s="327"/>
      <c r="U78" s="327"/>
      <c r="V78" s="327"/>
      <c r="W78" s="327"/>
      <c r="X78" s="327"/>
      <c r="Y78" s="327"/>
      <c r="Z78" s="327"/>
      <c r="AA78" s="327"/>
      <c r="AB78" s="327"/>
      <c r="AC78" s="327"/>
      <c r="AD78" s="327"/>
    </row>
    <row r="79" ht="23.25" customHeight="1">
      <c r="A79" s="327"/>
      <c r="B79" s="327"/>
      <c r="C79" s="327"/>
      <c r="D79" s="327"/>
      <c r="E79" s="327"/>
      <c r="F79" s="327"/>
      <c r="G79" s="327"/>
      <c r="H79" s="327"/>
      <c r="I79" s="327"/>
      <c r="J79" s="327"/>
      <c r="K79" s="327"/>
      <c r="L79" s="327"/>
      <c r="M79" s="327"/>
      <c r="N79" s="327"/>
      <c r="O79" s="327"/>
      <c r="P79" s="327"/>
      <c r="Q79" s="327"/>
      <c r="R79" s="327"/>
      <c r="S79" s="327"/>
      <c r="T79" s="327"/>
      <c r="U79" s="327"/>
      <c r="V79" s="327"/>
      <c r="W79" s="327"/>
      <c r="X79" s="327"/>
      <c r="Y79" s="327"/>
      <c r="Z79" s="327"/>
      <c r="AA79" s="327"/>
      <c r="AB79" s="327"/>
      <c r="AC79" s="327"/>
      <c r="AD79" s="327"/>
    </row>
    <row r="80" ht="23.25" customHeight="1">
      <c r="A80" s="327"/>
      <c r="B80" s="327"/>
      <c r="C80" s="327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7"/>
      <c r="T80" s="327"/>
      <c r="U80" s="327"/>
      <c r="V80" s="327"/>
      <c r="W80" s="327"/>
      <c r="X80" s="327"/>
      <c r="Y80" s="327"/>
      <c r="Z80" s="327"/>
      <c r="AA80" s="327"/>
      <c r="AB80" s="327"/>
      <c r="AC80" s="327"/>
      <c r="AD80" s="327"/>
    </row>
    <row r="81" ht="23.25" customHeight="1">
      <c r="A81" s="327"/>
      <c r="B81" s="327"/>
      <c r="C81" s="327"/>
      <c r="D81" s="327"/>
      <c r="E81" s="327"/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27"/>
      <c r="Q81" s="327"/>
      <c r="R81" s="327"/>
      <c r="S81" s="327"/>
      <c r="T81" s="327"/>
      <c r="U81" s="327"/>
      <c r="V81" s="327"/>
      <c r="W81" s="327"/>
      <c r="X81" s="327"/>
      <c r="Y81" s="327"/>
      <c r="Z81" s="327"/>
      <c r="AA81" s="327"/>
      <c r="AB81" s="327"/>
      <c r="AC81" s="327"/>
      <c r="AD81" s="327"/>
    </row>
    <row r="82" ht="23.25" customHeight="1">
      <c r="A82" s="327"/>
      <c r="B82" s="327"/>
      <c r="C82" s="327"/>
      <c r="D82" s="327"/>
      <c r="E82" s="327"/>
      <c r="F82" s="327"/>
      <c r="G82" s="327"/>
      <c r="H82" s="327"/>
      <c r="I82" s="327"/>
      <c r="J82" s="327"/>
      <c r="K82" s="327"/>
      <c r="L82" s="327"/>
      <c r="M82" s="327"/>
      <c r="N82" s="327"/>
      <c r="O82" s="327"/>
      <c r="P82" s="327"/>
      <c r="Q82" s="327"/>
      <c r="R82" s="327"/>
      <c r="S82" s="327"/>
      <c r="T82" s="327"/>
      <c r="U82" s="327"/>
      <c r="V82" s="327"/>
      <c r="W82" s="327"/>
      <c r="X82" s="327"/>
      <c r="Y82" s="327"/>
      <c r="Z82" s="327"/>
      <c r="AA82" s="327"/>
      <c r="AB82" s="327"/>
      <c r="AC82" s="327"/>
      <c r="AD82" s="327"/>
    </row>
    <row r="83" ht="23.25" customHeight="1">
      <c r="A83" s="327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</row>
    <row r="84" ht="23.25" customHeight="1">
      <c r="A84" s="327"/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</row>
    <row r="85" ht="23.25" customHeight="1">
      <c r="A85" s="327"/>
      <c r="B85" s="327"/>
      <c r="C85" s="327"/>
      <c r="D85" s="327"/>
      <c r="E85" s="327"/>
      <c r="F85" s="327"/>
      <c r="G85" s="327"/>
      <c r="H85" s="327"/>
      <c r="I85" s="327"/>
      <c r="J85" s="327"/>
      <c r="K85" s="327"/>
      <c r="L85" s="327"/>
      <c r="M85" s="327"/>
      <c r="N85" s="327"/>
      <c r="O85" s="327"/>
      <c r="P85" s="327"/>
      <c r="Q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  <c r="AB85" s="327"/>
      <c r="AC85" s="327"/>
      <c r="AD85" s="327"/>
    </row>
    <row r="86" ht="23.25" customHeight="1">
      <c r="A86" s="327"/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  <c r="T86" s="327"/>
      <c r="U86" s="327"/>
      <c r="V86" s="327"/>
      <c r="W86" s="327"/>
      <c r="X86" s="327"/>
      <c r="Y86" s="327"/>
      <c r="Z86" s="327"/>
      <c r="AA86" s="327"/>
      <c r="AB86" s="327"/>
      <c r="AC86" s="327"/>
      <c r="AD86" s="327"/>
    </row>
    <row r="87" ht="23.25" customHeight="1">
      <c r="A87" s="327"/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  <c r="AA87" s="327"/>
      <c r="AB87" s="327"/>
      <c r="AC87" s="327"/>
      <c r="AD87" s="327"/>
    </row>
    <row r="88" ht="23.25" customHeight="1">
      <c r="A88" s="327"/>
      <c r="B88" s="327"/>
      <c r="C88" s="327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7"/>
      <c r="T88" s="327"/>
      <c r="U88" s="327"/>
      <c r="V88" s="327"/>
      <c r="W88" s="327"/>
      <c r="X88" s="327"/>
      <c r="Y88" s="327"/>
      <c r="Z88" s="327"/>
      <c r="AA88" s="327"/>
      <c r="AB88" s="327"/>
      <c r="AC88" s="327"/>
      <c r="AD88" s="327"/>
    </row>
    <row r="89" ht="23.25" customHeight="1">
      <c r="A89" s="327"/>
      <c r="B89" s="327"/>
      <c r="C89" s="327"/>
      <c r="D89" s="327"/>
      <c r="E89" s="327"/>
      <c r="F89" s="327"/>
      <c r="G89" s="327"/>
      <c r="H89" s="327"/>
      <c r="I89" s="327"/>
      <c r="J89" s="327"/>
      <c r="K89" s="327"/>
      <c r="L89" s="327"/>
      <c r="M89" s="327"/>
      <c r="N89" s="327"/>
      <c r="O89" s="327"/>
      <c r="P89" s="327"/>
      <c r="Q89" s="327"/>
      <c r="R89" s="327"/>
      <c r="S89" s="327"/>
      <c r="T89" s="327"/>
      <c r="U89" s="327"/>
      <c r="V89" s="327"/>
      <c r="W89" s="327"/>
      <c r="X89" s="327"/>
      <c r="Y89" s="327"/>
      <c r="Z89" s="327"/>
      <c r="AA89" s="327"/>
      <c r="AB89" s="327"/>
      <c r="AC89" s="327"/>
      <c r="AD89" s="327"/>
    </row>
    <row r="90" ht="23.25" customHeight="1">
      <c r="A90" s="327"/>
      <c r="B90" s="327"/>
      <c r="C90" s="327"/>
      <c r="D90" s="327"/>
      <c r="E90" s="327"/>
      <c r="F90" s="327"/>
      <c r="G90" s="327"/>
      <c r="H90" s="327"/>
      <c r="I90" s="327"/>
      <c r="J90" s="327"/>
      <c r="K90" s="327"/>
      <c r="L90" s="327"/>
      <c r="M90" s="327"/>
      <c r="N90" s="327"/>
      <c r="O90" s="327"/>
      <c r="P90" s="327"/>
      <c r="Q90" s="327"/>
      <c r="R90" s="327"/>
      <c r="S90" s="327"/>
      <c r="T90" s="327"/>
      <c r="U90" s="327"/>
      <c r="V90" s="327"/>
      <c r="W90" s="327"/>
      <c r="X90" s="327"/>
      <c r="Y90" s="327"/>
      <c r="Z90" s="327"/>
      <c r="AA90" s="327"/>
      <c r="AB90" s="327"/>
      <c r="AC90" s="327"/>
      <c r="AD90" s="327"/>
    </row>
    <row r="91" ht="23.25" customHeight="1">
      <c r="A91" s="327"/>
      <c r="B91" s="327"/>
      <c r="C91" s="327"/>
      <c r="D91" s="327"/>
      <c r="E91" s="327"/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  <c r="T91" s="327"/>
      <c r="U91" s="327"/>
      <c r="V91" s="327"/>
      <c r="W91" s="327"/>
      <c r="X91" s="327"/>
      <c r="Y91" s="327"/>
      <c r="Z91" s="327"/>
      <c r="AA91" s="327"/>
      <c r="AB91" s="327"/>
      <c r="AC91" s="327"/>
      <c r="AD91" s="327"/>
    </row>
    <row r="92" ht="23.25" customHeight="1">
      <c r="A92" s="327"/>
      <c r="B92" s="327"/>
      <c r="C92" s="327"/>
      <c r="D92" s="327"/>
      <c r="E92" s="327"/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  <c r="AA92" s="327"/>
      <c r="AB92" s="327"/>
      <c r="AC92" s="327"/>
      <c r="AD92" s="327"/>
    </row>
    <row r="93" ht="23.25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</row>
    <row r="94" ht="23.25" customHeight="1">
      <c r="A94" s="327"/>
      <c r="B94" s="327"/>
      <c r="C94" s="327"/>
      <c r="D94" s="327"/>
      <c r="E94" s="327"/>
      <c r="F94" s="327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327"/>
      <c r="U94" s="327"/>
      <c r="V94" s="327"/>
      <c r="W94" s="327"/>
      <c r="X94" s="327"/>
      <c r="Y94" s="327"/>
      <c r="Z94" s="327"/>
      <c r="AA94" s="327"/>
      <c r="AB94" s="327"/>
      <c r="AC94" s="327"/>
      <c r="AD94" s="327"/>
    </row>
    <row r="95" ht="23.25" customHeight="1">
      <c r="A95" s="327"/>
      <c r="B95" s="327"/>
      <c r="C95" s="327"/>
      <c r="D95" s="327"/>
      <c r="E95" s="327"/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  <c r="AA95" s="327"/>
      <c r="AB95" s="327"/>
      <c r="AC95" s="327"/>
      <c r="AD95" s="327"/>
    </row>
    <row r="96" ht="23.25" customHeight="1">
      <c r="A96" s="327"/>
      <c r="B96" s="327"/>
      <c r="C96" s="327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327"/>
      <c r="U96" s="327"/>
      <c r="V96" s="327"/>
      <c r="W96" s="327"/>
      <c r="X96" s="327"/>
      <c r="Y96" s="327"/>
      <c r="Z96" s="327"/>
      <c r="AA96" s="327"/>
      <c r="AB96" s="327"/>
      <c r="AC96" s="327"/>
      <c r="AD96" s="327"/>
    </row>
    <row r="97" ht="23.25" customHeight="1">
      <c r="A97" s="327"/>
      <c r="B97" s="327"/>
      <c r="C97" s="327"/>
      <c r="D97" s="327"/>
      <c r="E97" s="327"/>
      <c r="F97" s="327"/>
      <c r="G97" s="327"/>
      <c r="H97" s="327"/>
      <c r="I97" s="327"/>
      <c r="J97" s="327"/>
      <c r="K97" s="327"/>
      <c r="L97" s="327"/>
      <c r="M97" s="327"/>
      <c r="N97" s="327"/>
      <c r="O97" s="327"/>
      <c r="P97" s="327"/>
      <c r="Q97" s="327"/>
      <c r="R97" s="327"/>
      <c r="S97" s="327"/>
      <c r="T97" s="327"/>
      <c r="U97" s="327"/>
      <c r="V97" s="327"/>
      <c r="W97" s="327"/>
      <c r="X97" s="327"/>
      <c r="Y97" s="327"/>
      <c r="Z97" s="327"/>
      <c r="AA97" s="327"/>
      <c r="AB97" s="327"/>
      <c r="AC97" s="327"/>
      <c r="AD97" s="327"/>
    </row>
    <row r="98" ht="23.25" customHeight="1">
      <c r="A98" s="327"/>
      <c r="B98" s="327"/>
      <c r="C98" s="32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</row>
    <row r="99" ht="23.25" customHeight="1">
      <c r="A99" s="327"/>
      <c r="B99" s="327"/>
      <c r="C99" s="32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</row>
    <row r="100" ht="23.25" customHeight="1">
      <c r="A100" s="327"/>
      <c r="B100" s="327"/>
      <c r="C100" s="327"/>
      <c r="D100" s="327"/>
      <c r="E100" s="327"/>
      <c r="F100" s="327"/>
      <c r="G100" s="327"/>
      <c r="H100" s="327"/>
      <c r="I100" s="327"/>
      <c r="J100" s="327"/>
      <c r="K100" s="327"/>
      <c r="L100" s="327"/>
      <c r="M100" s="327"/>
      <c r="N100" s="327"/>
      <c r="O100" s="327"/>
      <c r="P100" s="327"/>
      <c r="Q100" s="327"/>
      <c r="R100" s="327"/>
      <c r="S100" s="327"/>
      <c r="T100" s="327"/>
      <c r="U100" s="327"/>
      <c r="V100" s="327"/>
      <c r="W100" s="327"/>
      <c r="X100" s="327"/>
      <c r="Y100" s="327"/>
      <c r="Z100" s="327"/>
      <c r="AA100" s="327"/>
      <c r="AB100" s="327"/>
      <c r="AC100" s="327"/>
      <c r="AD100" s="327"/>
    </row>
    <row r="101" ht="23.25" customHeight="1">
      <c r="A101" s="327"/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  <c r="L101" s="327"/>
      <c r="M101" s="327"/>
      <c r="N101" s="327"/>
      <c r="O101" s="327"/>
      <c r="P101" s="327"/>
      <c r="Q101" s="327"/>
      <c r="R101" s="327"/>
      <c r="S101" s="327"/>
      <c r="T101" s="327"/>
      <c r="U101" s="327"/>
      <c r="V101" s="327"/>
      <c r="W101" s="327"/>
      <c r="X101" s="327"/>
      <c r="Y101" s="327"/>
      <c r="Z101" s="327"/>
      <c r="AA101" s="327"/>
      <c r="AB101" s="327"/>
      <c r="AC101" s="327"/>
      <c r="AD101" s="327"/>
    </row>
    <row r="102" ht="23.25" customHeight="1">
      <c r="A102" s="327"/>
      <c r="B102" s="327"/>
      <c r="C102" s="327"/>
      <c r="D102" s="327"/>
      <c r="E102" s="327"/>
      <c r="F102" s="327"/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7"/>
      <c r="T102" s="327"/>
      <c r="U102" s="327"/>
      <c r="V102" s="327"/>
      <c r="W102" s="327"/>
      <c r="X102" s="327"/>
      <c r="Y102" s="327"/>
      <c r="Z102" s="327"/>
      <c r="AA102" s="327"/>
      <c r="AB102" s="327"/>
      <c r="AC102" s="327"/>
      <c r="AD102" s="327"/>
    </row>
    <row r="103" ht="23.25" customHeight="1">
      <c r="A103" s="327"/>
      <c r="B103" s="327"/>
      <c r="C103" s="327"/>
      <c r="D103" s="327"/>
      <c r="E103" s="327"/>
      <c r="F103" s="327"/>
      <c r="G103" s="327"/>
      <c r="H103" s="327"/>
      <c r="I103" s="327"/>
      <c r="J103" s="327"/>
      <c r="K103" s="327"/>
      <c r="L103" s="327"/>
      <c r="M103" s="327"/>
      <c r="N103" s="327"/>
      <c r="O103" s="327"/>
      <c r="P103" s="327"/>
      <c r="Q103" s="327"/>
      <c r="R103" s="327"/>
      <c r="S103" s="327"/>
      <c r="T103" s="327"/>
      <c r="U103" s="327"/>
      <c r="V103" s="327"/>
      <c r="W103" s="327"/>
      <c r="X103" s="327"/>
      <c r="Y103" s="327"/>
      <c r="Z103" s="327"/>
      <c r="AA103" s="327"/>
      <c r="AB103" s="327"/>
      <c r="AC103" s="327"/>
      <c r="AD103" s="327"/>
    </row>
    <row r="104" ht="23.25" customHeight="1">
      <c r="A104" s="327"/>
      <c r="B104" s="327"/>
      <c r="C104" s="327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7"/>
      <c r="T104" s="327"/>
      <c r="U104" s="327"/>
      <c r="V104" s="327"/>
      <c r="W104" s="327"/>
      <c r="X104" s="327"/>
      <c r="Y104" s="327"/>
      <c r="Z104" s="327"/>
      <c r="AA104" s="327"/>
      <c r="AB104" s="327"/>
      <c r="AC104" s="327"/>
      <c r="AD104" s="327"/>
    </row>
    <row r="105" ht="23.25" customHeight="1">
      <c r="A105" s="327"/>
      <c r="B105" s="327"/>
      <c r="C105" s="327"/>
      <c r="D105" s="327"/>
      <c r="E105" s="327"/>
      <c r="F105" s="327"/>
      <c r="G105" s="327"/>
      <c r="H105" s="327"/>
      <c r="I105" s="327"/>
      <c r="J105" s="327"/>
      <c r="K105" s="327"/>
      <c r="L105" s="327"/>
      <c r="M105" s="327"/>
      <c r="N105" s="327"/>
      <c r="O105" s="327"/>
      <c r="P105" s="327"/>
      <c r="Q105" s="327"/>
      <c r="R105" s="327"/>
      <c r="S105" s="327"/>
      <c r="T105" s="327"/>
      <c r="U105" s="327"/>
      <c r="V105" s="327"/>
      <c r="W105" s="327"/>
      <c r="X105" s="327"/>
      <c r="Y105" s="327"/>
      <c r="Z105" s="327"/>
      <c r="AA105" s="327"/>
      <c r="AB105" s="327"/>
      <c r="AC105" s="327"/>
      <c r="AD105" s="327"/>
    </row>
    <row r="106" ht="23.25" customHeight="1">
      <c r="A106" s="327"/>
      <c r="B106" s="327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  <c r="AD106" s="327"/>
    </row>
    <row r="107" ht="23.25" customHeight="1">
      <c r="A107" s="327"/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  <c r="AA107" s="327"/>
      <c r="AB107" s="327"/>
      <c r="AC107" s="327"/>
      <c r="AD107" s="327"/>
    </row>
    <row r="108" ht="23.25" customHeight="1">
      <c r="A108" s="327"/>
      <c r="B108" s="327"/>
      <c r="C108" s="327"/>
      <c r="D108" s="327"/>
      <c r="E108" s="327"/>
      <c r="F108" s="327"/>
      <c r="G108" s="327"/>
      <c r="H108" s="327"/>
      <c r="I108" s="327"/>
      <c r="J108" s="327"/>
      <c r="K108" s="327"/>
      <c r="L108" s="327"/>
      <c r="M108" s="327"/>
      <c r="N108" s="327"/>
      <c r="O108" s="327"/>
      <c r="P108" s="327"/>
      <c r="Q108" s="327"/>
      <c r="R108" s="327"/>
      <c r="S108" s="327"/>
      <c r="T108" s="327"/>
      <c r="U108" s="327"/>
      <c r="V108" s="327"/>
      <c r="W108" s="327"/>
      <c r="X108" s="327"/>
      <c r="Y108" s="327"/>
      <c r="Z108" s="327"/>
      <c r="AA108" s="327"/>
      <c r="AB108" s="327"/>
      <c r="AC108" s="327"/>
      <c r="AD108" s="327"/>
    </row>
    <row r="109" ht="23.25" customHeight="1">
      <c r="A109" s="327"/>
      <c r="B109" s="327"/>
      <c r="C109" s="327"/>
      <c r="D109" s="327"/>
      <c r="E109" s="327"/>
      <c r="F109" s="327"/>
      <c r="G109" s="327"/>
      <c r="H109" s="327"/>
      <c r="I109" s="327"/>
      <c r="J109" s="327"/>
      <c r="K109" s="327"/>
      <c r="L109" s="327"/>
      <c r="M109" s="327"/>
      <c r="N109" s="327"/>
      <c r="O109" s="327"/>
      <c r="P109" s="327"/>
      <c r="Q109" s="327"/>
      <c r="R109" s="327"/>
      <c r="S109" s="327"/>
      <c r="T109" s="327"/>
      <c r="U109" s="327"/>
      <c r="V109" s="327"/>
      <c r="W109" s="327"/>
      <c r="X109" s="327"/>
      <c r="Y109" s="327"/>
      <c r="Z109" s="327"/>
      <c r="AA109" s="327"/>
      <c r="AB109" s="327"/>
      <c r="AC109" s="327"/>
      <c r="AD109" s="327"/>
    </row>
    <row r="110" ht="23.25" customHeight="1">
      <c r="A110" s="327"/>
      <c r="B110" s="327"/>
      <c r="C110" s="327"/>
      <c r="D110" s="327"/>
      <c r="E110" s="327"/>
      <c r="F110" s="327"/>
      <c r="G110" s="327"/>
      <c r="H110" s="327"/>
      <c r="I110" s="327"/>
      <c r="J110" s="327"/>
      <c r="K110" s="327"/>
      <c r="L110" s="327"/>
      <c r="M110" s="327"/>
      <c r="N110" s="327"/>
      <c r="O110" s="327"/>
      <c r="P110" s="327"/>
      <c r="Q110" s="327"/>
      <c r="R110" s="327"/>
      <c r="S110" s="327"/>
      <c r="T110" s="327"/>
      <c r="U110" s="327"/>
      <c r="V110" s="327"/>
      <c r="W110" s="327"/>
      <c r="X110" s="327"/>
      <c r="Y110" s="327"/>
      <c r="Z110" s="327"/>
      <c r="AA110" s="327"/>
      <c r="AB110" s="327"/>
      <c r="AC110" s="327"/>
      <c r="AD110" s="327"/>
    </row>
    <row r="111" ht="23.25" customHeight="1">
      <c r="A111" s="327"/>
      <c r="B111" s="327"/>
      <c r="C111" s="327"/>
      <c r="D111" s="327"/>
      <c r="E111" s="327"/>
      <c r="F111" s="327"/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ht="23.25" customHeight="1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ht="23.25" customHeight="1">
      <c r="A113" s="327"/>
      <c r="B113" s="327"/>
      <c r="C113" s="327"/>
      <c r="D113" s="327"/>
      <c r="E113" s="327"/>
      <c r="F113" s="327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  <c r="S113" s="327"/>
      <c r="T113" s="327"/>
      <c r="U113" s="327"/>
      <c r="V113" s="327"/>
      <c r="W113" s="327"/>
      <c r="X113" s="327"/>
      <c r="Y113" s="327"/>
      <c r="Z113" s="327"/>
      <c r="AA113" s="327"/>
      <c r="AB113" s="327"/>
      <c r="AC113" s="327"/>
      <c r="AD113" s="327"/>
    </row>
    <row r="114" ht="23.25" customHeight="1">
      <c r="A114" s="327"/>
      <c r="B114" s="327"/>
      <c r="C114" s="327"/>
      <c r="D114" s="327"/>
      <c r="E114" s="327"/>
      <c r="F114" s="327"/>
      <c r="G114" s="327"/>
      <c r="H114" s="327"/>
      <c r="I114" s="327"/>
      <c r="J114" s="327"/>
      <c r="K114" s="327"/>
      <c r="L114" s="327"/>
      <c r="M114" s="327"/>
      <c r="N114" s="327"/>
      <c r="O114" s="327"/>
      <c r="P114" s="327"/>
      <c r="Q114" s="327"/>
      <c r="R114" s="327"/>
      <c r="S114" s="327"/>
      <c r="T114" s="327"/>
      <c r="U114" s="327"/>
      <c r="V114" s="327"/>
      <c r="W114" s="327"/>
      <c r="X114" s="327"/>
      <c r="Y114" s="327"/>
      <c r="Z114" s="327"/>
      <c r="AA114" s="327"/>
      <c r="AB114" s="327"/>
      <c r="AC114" s="327"/>
      <c r="AD114" s="327"/>
    </row>
    <row r="115" ht="23.25" customHeight="1">
      <c r="A115" s="327"/>
      <c r="B115" s="327"/>
      <c r="C115" s="327"/>
      <c r="D115" s="327"/>
      <c r="E115" s="327"/>
      <c r="F115" s="327"/>
      <c r="G115" s="327"/>
      <c r="H115" s="327"/>
      <c r="I115" s="327"/>
      <c r="J115" s="327"/>
      <c r="K115" s="327"/>
      <c r="L115" s="327"/>
      <c r="M115" s="327"/>
      <c r="N115" s="327"/>
      <c r="O115" s="327"/>
      <c r="P115" s="327"/>
      <c r="Q115" s="327"/>
      <c r="R115" s="327"/>
      <c r="S115" s="327"/>
      <c r="T115" s="327"/>
      <c r="U115" s="327"/>
      <c r="V115" s="327"/>
      <c r="W115" s="327"/>
      <c r="X115" s="327"/>
      <c r="Y115" s="327"/>
      <c r="Z115" s="327"/>
      <c r="AA115" s="327"/>
      <c r="AB115" s="327"/>
      <c r="AC115" s="327"/>
      <c r="AD115" s="327"/>
    </row>
    <row r="116" ht="23.25" customHeight="1">
      <c r="A116" s="327"/>
      <c r="B116" s="327"/>
      <c r="C116" s="327"/>
      <c r="D116" s="327"/>
      <c r="E116" s="327"/>
      <c r="F116" s="327"/>
      <c r="G116" s="327"/>
      <c r="H116" s="327"/>
      <c r="I116" s="327"/>
      <c r="J116" s="327"/>
      <c r="K116" s="327"/>
      <c r="L116" s="327"/>
      <c r="M116" s="327"/>
      <c r="N116" s="327"/>
      <c r="O116" s="327"/>
      <c r="P116" s="327"/>
      <c r="Q116" s="327"/>
      <c r="R116" s="327"/>
      <c r="S116" s="327"/>
      <c r="T116" s="327"/>
      <c r="U116" s="327"/>
      <c r="V116" s="327"/>
      <c r="W116" s="327"/>
      <c r="X116" s="327"/>
      <c r="Y116" s="327"/>
      <c r="Z116" s="327"/>
      <c r="AA116" s="327"/>
      <c r="AB116" s="327"/>
      <c r="AC116" s="327"/>
      <c r="AD116" s="327"/>
    </row>
    <row r="117" ht="23.25" customHeight="1">
      <c r="A117" s="327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7"/>
      <c r="R117" s="327"/>
      <c r="S117" s="327"/>
      <c r="T117" s="327"/>
      <c r="U117" s="327"/>
      <c r="V117" s="327"/>
      <c r="W117" s="327"/>
      <c r="X117" s="327"/>
      <c r="Y117" s="327"/>
      <c r="Z117" s="327"/>
      <c r="AA117" s="327"/>
      <c r="AB117" s="327"/>
      <c r="AC117" s="327"/>
      <c r="AD117" s="327"/>
    </row>
    <row r="118" ht="23.25" customHeight="1">
      <c r="A118" s="327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7"/>
      <c r="R118" s="327"/>
      <c r="S118" s="327"/>
      <c r="T118" s="327"/>
      <c r="U118" s="327"/>
      <c r="V118" s="327"/>
      <c r="W118" s="327"/>
      <c r="X118" s="327"/>
      <c r="Y118" s="327"/>
      <c r="Z118" s="327"/>
      <c r="AA118" s="327"/>
      <c r="AB118" s="327"/>
      <c r="AC118" s="327"/>
      <c r="AD118" s="327"/>
    </row>
    <row r="119" ht="23.25" customHeight="1">
      <c r="A119" s="327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  <c r="AA119" s="327"/>
      <c r="AB119" s="327"/>
      <c r="AC119" s="327"/>
      <c r="AD119" s="327"/>
    </row>
    <row r="120" ht="23.25" customHeight="1">
      <c r="A120" s="327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  <c r="AA120" s="327"/>
      <c r="AB120" s="327"/>
      <c r="AC120" s="327"/>
      <c r="AD120" s="327"/>
    </row>
    <row r="121" ht="23.25" customHeight="1">
      <c r="A121" s="327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  <c r="AA121" s="327"/>
      <c r="AB121" s="327"/>
      <c r="AC121" s="327"/>
      <c r="AD121" s="327"/>
    </row>
    <row r="122" ht="23.25" customHeight="1">
      <c r="A122" s="327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  <c r="AA122" s="327"/>
      <c r="AB122" s="327"/>
      <c r="AC122" s="327"/>
      <c r="AD122" s="327"/>
    </row>
    <row r="123" ht="23.25" customHeight="1">
      <c r="A123" s="327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  <c r="AA123" s="327"/>
      <c r="AB123" s="327"/>
      <c r="AC123" s="327"/>
      <c r="AD123" s="327"/>
    </row>
    <row r="124" ht="23.25" customHeight="1">
      <c r="A124" s="327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  <c r="AA124" s="327"/>
      <c r="AB124" s="327"/>
      <c r="AC124" s="327"/>
      <c r="AD124" s="327"/>
    </row>
    <row r="125" ht="23.25" customHeight="1">
      <c r="A125" s="327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7"/>
      <c r="R125" s="327"/>
      <c r="S125" s="327"/>
      <c r="T125" s="327"/>
      <c r="U125" s="327"/>
      <c r="V125" s="327"/>
      <c r="W125" s="327"/>
      <c r="X125" s="327"/>
      <c r="Y125" s="327"/>
      <c r="Z125" s="327"/>
      <c r="AA125" s="327"/>
      <c r="AB125" s="327"/>
      <c r="AC125" s="327"/>
      <c r="AD125" s="327"/>
    </row>
    <row r="126" ht="23.25" customHeight="1">
      <c r="A126" s="327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7"/>
      <c r="R126" s="327"/>
      <c r="S126" s="327"/>
      <c r="T126" s="327"/>
      <c r="U126" s="327"/>
      <c r="V126" s="327"/>
      <c r="W126" s="327"/>
      <c r="X126" s="327"/>
      <c r="Y126" s="327"/>
      <c r="Z126" s="327"/>
      <c r="AA126" s="327"/>
      <c r="AB126" s="327"/>
      <c r="AC126" s="327"/>
      <c r="AD126" s="327"/>
    </row>
    <row r="127" ht="23.25" customHeight="1">
      <c r="A127" s="327"/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  <c r="AA127" s="327"/>
      <c r="AB127" s="327"/>
      <c r="AC127" s="327"/>
      <c r="AD127" s="327"/>
    </row>
    <row r="128" ht="23.25" customHeight="1">
      <c r="A128" s="327"/>
      <c r="B128" s="327"/>
      <c r="C128" s="327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7"/>
      <c r="T128" s="327"/>
      <c r="U128" s="327"/>
      <c r="V128" s="327"/>
      <c r="W128" s="327"/>
      <c r="X128" s="327"/>
      <c r="Y128" s="327"/>
      <c r="Z128" s="327"/>
      <c r="AA128" s="327"/>
      <c r="AB128" s="327"/>
      <c r="AC128" s="327"/>
      <c r="AD128" s="327"/>
    </row>
    <row r="129" ht="23.25" customHeight="1">
      <c r="A129" s="327"/>
      <c r="B129" s="327"/>
      <c r="C129" s="327"/>
      <c r="D129" s="327"/>
      <c r="E129" s="327"/>
      <c r="F129" s="327"/>
      <c r="G129" s="327"/>
      <c r="H129" s="327"/>
      <c r="I129" s="327"/>
      <c r="J129" s="327"/>
      <c r="K129" s="327"/>
      <c r="L129" s="327"/>
      <c r="M129" s="327"/>
      <c r="N129" s="327"/>
      <c r="O129" s="327"/>
      <c r="P129" s="327"/>
      <c r="Q129" s="327"/>
      <c r="R129" s="327"/>
      <c r="S129" s="327"/>
      <c r="T129" s="327"/>
      <c r="U129" s="327"/>
      <c r="V129" s="327"/>
      <c r="W129" s="327"/>
      <c r="X129" s="327"/>
      <c r="Y129" s="327"/>
      <c r="Z129" s="327"/>
      <c r="AA129" s="327"/>
      <c r="AB129" s="327"/>
      <c r="AC129" s="327"/>
      <c r="AD129" s="327"/>
    </row>
    <row r="130" ht="23.25" customHeight="1">
      <c r="A130" s="327"/>
      <c r="B130" s="327"/>
      <c r="C130" s="327"/>
      <c r="D130" s="327"/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7"/>
      <c r="P130" s="327"/>
      <c r="Q130" s="327"/>
      <c r="R130" s="327"/>
      <c r="S130" s="327"/>
      <c r="T130" s="327"/>
      <c r="U130" s="327"/>
      <c r="V130" s="327"/>
      <c r="W130" s="327"/>
      <c r="X130" s="327"/>
      <c r="Y130" s="327"/>
      <c r="Z130" s="327"/>
      <c r="AA130" s="327"/>
      <c r="AB130" s="327"/>
      <c r="AC130" s="327"/>
      <c r="AD130" s="327"/>
    </row>
    <row r="131" ht="23.25" customHeight="1">
      <c r="A131" s="327"/>
      <c r="B131" s="327"/>
      <c r="C131" s="327"/>
      <c r="D131" s="327"/>
      <c r="E131" s="327"/>
      <c r="F131" s="327"/>
      <c r="G131" s="327"/>
      <c r="H131" s="327"/>
      <c r="I131" s="327"/>
      <c r="J131" s="327"/>
      <c r="K131" s="327"/>
      <c r="L131" s="327"/>
      <c r="M131" s="327"/>
      <c r="N131" s="327"/>
      <c r="O131" s="327"/>
      <c r="P131" s="327"/>
      <c r="Q131" s="327"/>
      <c r="R131" s="327"/>
      <c r="S131" s="327"/>
      <c r="T131" s="327"/>
      <c r="U131" s="327"/>
      <c r="V131" s="327"/>
      <c r="W131" s="327"/>
      <c r="X131" s="327"/>
      <c r="Y131" s="327"/>
      <c r="Z131" s="327"/>
      <c r="AA131" s="327"/>
      <c r="AB131" s="327"/>
      <c r="AC131" s="327"/>
      <c r="AD131" s="327"/>
    </row>
    <row r="132" ht="23.25" customHeight="1">
      <c r="A132" s="327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327"/>
      <c r="M132" s="327"/>
      <c r="N132" s="327"/>
      <c r="O132" s="327"/>
      <c r="P132" s="327"/>
      <c r="Q132" s="327"/>
      <c r="R132" s="327"/>
      <c r="S132" s="327"/>
      <c r="T132" s="327"/>
      <c r="U132" s="327"/>
      <c r="V132" s="327"/>
      <c r="W132" s="327"/>
      <c r="X132" s="327"/>
      <c r="Y132" s="327"/>
      <c r="Z132" s="327"/>
      <c r="AA132" s="327"/>
      <c r="AB132" s="327"/>
      <c r="AC132" s="327"/>
      <c r="AD132" s="327"/>
    </row>
    <row r="133" ht="23.25" customHeight="1">
      <c r="A133" s="327"/>
      <c r="B133" s="327"/>
      <c r="C133" s="327"/>
      <c r="D133" s="327"/>
      <c r="E133" s="327"/>
      <c r="F133" s="327"/>
      <c r="G133" s="327"/>
      <c r="H133" s="327"/>
      <c r="I133" s="327"/>
      <c r="J133" s="327"/>
      <c r="K133" s="327"/>
      <c r="L133" s="327"/>
      <c r="M133" s="327"/>
      <c r="N133" s="327"/>
      <c r="O133" s="327"/>
      <c r="P133" s="327"/>
      <c r="Q133" s="327"/>
      <c r="R133" s="327"/>
      <c r="S133" s="327"/>
      <c r="T133" s="327"/>
      <c r="U133" s="327"/>
      <c r="V133" s="327"/>
      <c r="W133" s="327"/>
      <c r="X133" s="327"/>
      <c r="Y133" s="327"/>
      <c r="Z133" s="327"/>
      <c r="AA133" s="327"/>
      <c r="AB133" s="327"/>
      <c r="AC133" s="327"/>
      <c r="AD133" s="327"/>
    </row>
    <row r="134" ht="23.25" customHeight="1">
      <c r="A134" s="327"/>
      <c r="B134" s="327"/>
      <c r="C134" s="327"/>
      <c r="D134" s="327"/>
      <c r="E134" s="327"/>
      <c r="F134" s="327"/>
      <c r="G134" s="327"/>
      <c r="H134" s="327"/>
      <c r="I134" s="327"/>
      <c r="J134" s="327"/>
      <c r="K134" s="327"/>
      <c r="L134" s="327"/>
      <c r="M134" s="327"/>
      <c r="N134" s="327"/>
      <c r="O134" s="327"/>
      <c r="P134" s="327"/>
      <c r="Q134" s="327"/>
      <c r="R134" s="327"/>
      <c r="S134" s="327"/>
      <c r="T134" s="327"/>
      <c r="U134" s="327"/>
      <c r="V134" s="327"/>
      <c r="W134" s="327"/>
      <c r="X134" s="327"/>
      <c r="Y134" s="327"/>
      <c r="Z134" s="327"/>
      <c r="AA134" s="327"/>
      <c r="AB134" s="327"/>
      <c r="AC134" s="327"/>
      <c r="AD134" s="327"/>
    </row>
    <row r="135" ht="23.25" customHeight="1">
      <c r="A135" s="327"/>
      <c r="B135" s="327"/>
      <c r="C135" s="327"/>
      <c r="D135" s="327"/>
      <c r="E135" s="327"/>
      <c r="F135" s="327"/>
      <c r="G135" s="327"/>
      <c r="H135" s="327"/>
      <c r="I135" s="327"/>
      <c r="J135" s="327"/>
      <c r="K135" s="327"/>
      <c r="L135" s="327"/>
      <c r="M135" s="327"/>
      <c r="N135" s="327"/>
      <c r="O135" s="327"/>
      <c r="P135" s="327"/>
      <c r="Q135" s="327"/>
      <c r="R135" s="327"/>
      <c r="S135" s="327"/>
      <c r="T135" s="327"/>
      <c r="U135" s="327"/>
      <c r="V135" s="327"/>
      <c r="W135" s="327"/>
      <c r="X135" s="327"/>
      <c r="Y135" s="327"/>
      <c r="Z135" s="327"/>
      <c r="AA135" s="327"/>
      <c r="AB135" s="327"/>
      <c r="AC135" s="327"/>
      <c r="AD135" s="327"/>
    </row>
    <row r="136" ht="23.25" customHeight="1">
      <c r="A136" s="327"/>
      <c r="B136" s="327"/>
      <c r="C136" s="327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7"/>
      <c r="T136" s="327"/>
      <c r="U136" s="327"/>
      <c r="V136" s="327"/>
      <c r="W136" s="327"/>
      <c r="X136" s="327"/>
      <c r="Y136" s="327"/>
      <c r="Z136" s="327"/>
      <c r="AA136" s="327"/>
      <c r="AB136" s="327"/>
      <c r="AC136" s="327"/>
      <c r="AD136" s="327"/>
    </row>
    <row r="137" ht="23.25" customHeight="1">
      <c r="A137" s="327"/>
      <c r="B137" s="327"/>
      <c r="C137" s="327"/>
      <c r="D137" s="327"/>
      <c r="E137" s="327"/>
      <c r="F137" s="327"/>
      <c r="G137" s="327"/>
      <c r="H137" s="327"/>
      <c r="I137" s="327"/>
      <c r="J137" s="327"/>
      <c r="K137" s="327"/>
      <c r="L137" s="327"/>
      <c r="M137" s="327"/>
      <c r="N137" s="327"/>
      <c r="O137" s="327"/>
      <c r="P137" s="327"/>
      <c r="Q137" s="327"/>
      <c r="R137" s="327"/>
      <c r="S137" s="327"/>
      <c r="T137" s="327"/>
      <c r="U137" s="327"/>
      <c r="V137" s="327"/>
      <c r="W137" s="327"/>
      <c r="X137" s="327"/>
      <c r="Y137" s="327"/>
      <c r="Z137" s="327"/>
      <c r="AA137" s="327"/>
      <c r="AB137" s="327"/>
      <c r="AC137" s="327"/>
      <c r="AD137" s="327"/>
    </row>
    <row r="138" ht="23.25" customHeight="1">
      <c r="A138" s="327"/>
      <c r="B138" s="327"/>
      <c r="C138" s="327"/>
      <c r="D138" s="327"/>
      <c r="E138" s="327"/>
      <c r="F138" s="327"/>
      <c r="G138" s="327"/>
      <c r="H138" s="327"/>
      <c r="I138" s="327"/>
      <c r="J138" s="327"/>
      <c r="K138" s="327"/>
      <c r="L138" s="327"/>
      <c r="M138" s="327"/>
      <c r="N138" s="327"/>
      <c r="O138" s="327"/>
      <c r="P138" s="327"/>
      <c r="Q138" s="327"/>
      <c r="R138" s="327"/>
      <c r="S138" s="327"/>
      <c r="T138" s="327"/>
      <c r="U138" s="327"/>
      <c r="V138" s="327"/>
      <c r="W138" s="327"/>
      <c r="X138" s="327"/>
      <c r="Y138" s="327"/>
      <c r="Z138" s="327"/>
      <c r="AA138" s="327"/>
      <c r="AB138" s="327"/>
      <c r="AC138" s="327"/>
      <c r="AD138" s="327"/>
    </row>
    <row r="139" ht="23.25" customHeight="1">
      <c r="A139" s="327"/>
      <c r="B139" s="327"/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</row>
    <row r="140" ht="23.25" customHeight="1">
      <c r="A140" s="327"/>
      <c r="B140" s="327"/>
      <c r="C140" s="327"/>
      <c r="D140" s="327"/>
      <c r="E140" s="327"/>
      <c r="F140" s="327"/>
      <c r="G140" s="327"/>
      <c r="H140" s="327"/>
      <c r="I140" s="327"/>
      <c r="J140" s="327"/>
      <c r="K140" s="327"/>
      <c r="L140" s="327"/>
      <c r="M140" s="327"/>
      <c r="N140" s="327"/>
      <c r="O140" s="327"/>
      <c r="P140" s="327"/>
      <c r="Q140" s="327"/>
      <c r="R140" s="327"/>
      <c r="S140" s="327"/>
      <c r="T140" s="327"/>
      <c r="U140" s="327"/>
      <c r="V140" s="327"/>
      <c r="W140" s="327"/>
      <c r="X140" s="327"/>
      <c r="Y140" s="327"/>
      <c r="Z140" s="327"/>
      <c r="AA140" s="327"/>
      <c r="AB140" s="327"/>
      <c r="AC140" s="327"/>
      <c r="AD140" s="327"/>
    </row>
    <row r="141" ht="23.25" customHeight="1">
      <c r="A141" s="327"/>
      <c r="B141" s="327"/>
      <c r="C141" s="327"/>
      <c r="D141" s="327"/>
      <c r="E141" s="327"/>
      <c r="F141" s="327"/>
      <c r="G141" s="327"/>
      <c r="H141" s="327"/>
      <c r="I141" s="327"/>
      <c r="J141" s="327"/>
      <c r="K141" s="327"/>
      <c r="L141" s="327"/>
      <c r="M141" s="327"/>
      <c r="N141" s="327"/>
      <c r="O141" s="327"/>
      <c r="P141" s="327"/>
      <c r="Q141" s="327"/>
      <c r="R141" s="327"/>
      <c r="S141" s="327"/>
      <c r="T141" s="327"/>
      <c r="U141" s="327"/>
      <c r="V141" s="327"/>
      <c r="W141" s="327"/>
      <c r="X141" s="327"/>
      <c r="Y141" s="327"/>
      <c r="Z141" s="327"/>
      <c r="AA141" s="327"/>
      <c r="AB141" s="327"/>
      <c r="AC141" s="327"/>
      <c r="AD141" s="327"/>
    </row>
    <row r="142" ht="23.25" customHeight="1">
      <c r="A142" s="327"/>
      <c r="B142" s="327"/>
      <c r="C142" s="327"/>
      <c r="D142" s="327"/>
      <c r="E142" s="327"/>
      <c r="F142" s="327"/>
      <c r="G142" s="327"/>
      <c r="H142" s="327"/>
      <c r="I142" s="327"/>
      <c r="J142" s="327"/>
      <c r="K142" s="327"/>
      <c r="L142" s="327"/>
      <c r="M142" s="327"/>
      <c r="N142" s="327"/>
      <c r="O142" s="327"/>
      <c r="P142" s="327"/>
      <c r="Q142" s="327"/>
      <c r="R142" s="327"/>
      <c r="S142" s="327"/>
      <c r="T142" s="327"/>
      <c r="U142" s="327"/>
      <c r="V142" s="327"/>
      <c r="W142" s="327"/>
      <c r="X142" s="327"/>
      <c r="Y142" s="327"/>
      <c r="Z142" s="327"/>
      <c r="AA142" s="327"/>
      <c r="AB142" s="327"/>
      <c r="AC142" s="327"/>
      <c r="AD142" s="327"/>
    </row>
    <row r="143" ht="23.25" customHeight="1">
      <c r="A143" s="327"/>
      <c r="B143" s="327"/>
      <c r="C143" s="327"/>
      <c r="D143" s="327"/>
      <c r="E143" s="327"/>
      <c r="F143" s="327"/>
      <c r="G143" s="327"/>
      <c r="H143" s="327"/>
      <c r="I143" s="327"/>
      <c r="J143" s="327"/>
      <c r="K143" s="327"/>
      <c r="L143" s="327"/>
      <c r="M143" s="327"/>
      <c r="N143" s="327"/>
      <c r="O143" s="327"/>
      <c r="P143" s="327"/>
      <c r="Q143" s="327"/>
      <c r="R143" s="327"/>
      <c r="S143" s="327"/>
      <c r="T143" s="327"/>
      <c r="U143" s="327"/>
      <c r="V143" s="327"/>
      <c r="W143" s="327"/>
      <c r="X143" s="327"/>
      <c r="Y143" s="327"/>
      <c r="Z143" s="327"/>
      <c r="AA143" s="327"/>
      <c r="AB143" s="327"/>
      <c r="AC143" s="327"/>
      <c r="AD143" s="327"/>
    </row>
    <row r="144" ht="23.25" customHeight="1">
      <c r="A144" s="327"/>
      <c r="B144" s="327"/>
      <c r="C144" s="327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7"/>
      <c r="T144" s="327"/>
      <c r="U144" s="327"/>
      <c r="V144" s="327"/>
      <c r="W144" s="327"/>
      <c r="X144" s="327"/>
      <c r="Y144" s="327"/>
      <c r="Z144" s="327"/>
      <c r="AA144" s="327"/>
      <c r="AB144" s="327"/>
      <c r="AC144" s="327"/>
      <c r="AD144" s="327"/>
    </row>
    <row r="145" ht="23.25" customHeight="1">
      <c r="A145" s="327"/>
      <c r="B145" s="327"/>
      <c r="C145" s="327"/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7"/>
      <c r="P145" s="327"/>
      <c r="Q145" s="327"/>
      <c r="R145" s="327"/>
      <c r="S145" s="327"/>
      <c r="T145" s="327"/>
      <c r="U145" s="327"/>
      <c r="V145" s="327"/>
      <c r="W145" s="327"/>
      <c r="X145" s="327"/>
      <c r="Y145" s="327"/>
      <c r="Z145" s="327"/>
      <c r="AA145" s="327"/>
      <c r="AB145" s="327"/>
      <c r="AC145" s="327"/>
      <c r="AD145" s="327"/>
    </row>
    <row r="146" ht="23.25" customHeight="1">
      <c r="A146" s="327"/>
      <c r="B146" s="327"/>
      <c r="C146" s="327"/>
      <c r="D146" s="327"/>
      <c r="E146" s="327"/>
      <c r="F146" s="327"/>
      <c r="G146" s="327"/>
      <c r="H146" s="327"/>
      <c r="I146" s="327"/>
      <c r="J146" s="327"/>
      <c r="K146" s="327"/>
      <c r="L146" s="327"/>
      <c r="M146" s="327"/>
      <c r="N146" s="327"/>
      <c r="O146" s="327"/>
      <c r="P146" s="327"/>
      <c r="Q146" s="327"/>
      <c r="R146" s="327"/>
      <c r="S146" s="327"/>
      <c r="T146" s="327"/>
      <c r="U146" s="327"/>
      <c r="V146" s="327"/>
      <c r="W146" s="327"/>
      <c r="X146" s="327"/>
      <c r="Y146" s="327"/>
      <c r="Z146" s="327"/>
      <c r="AA146" s="327"/>
      <c r="AB146" s="327"/>
      <c r="AC146" s="327"/>
      <c r="AD146" s="327"/>
    </row>
    <row r="147" ht="23.25" customHeight="1">
      <c r="A147" s="327"/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ht="23.25" customHeight="1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ht="23.25" customHeight="1">
      <c r="A149" s="327"/>
      <c r="B149" s="327"/>
      <c r="C149" s="327"/>
      <c r="D149" s="327"/>
      <c r="E149" s="327"/>
      <c r="F149" s="327"/>
      <c r="G149" s="327"/>
      <c r="H149" s="327"/>
      <c r="I149" s="327"/>
      <c r="J149" s="327"/>
      <c r="K149" s="327"/>
      <c r="L149" s="327"/>
      <c r="M149" s="327"/>
      <c r="N149" s="327"/>
      <c r="O149" s="327"/>
      <c r="P149" s="327"/>
      <c r="Q149" s="327"/>
      <c r="R149" s="327"/>
      <c r="S149" s="327"/>
      <c r="T149" s="327"/>
      <c r="U149" s="327"/>
      <c r="V149" s="327"/>
      <c r="W149" s="327"/>
      <c r="X149" s="327"/>
      <c r="Y149" s="327"/>
      <c r="Z149" s="327"/>
      <c r="AA149" s="327"/>
      <c r="AB149" s="327"/>
      <c r="AC149" s="327"/>
      <c r="AD149" s="327"/>
    </row>
    <row r="150" ht="23.25" customHeight="1">
      <c r="A150" s="327"/>
      <c r="B150" s="327"/>
      <c r="C150" s="32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  <c r="X150" s="327"/>
      <c r="Y150" s="327"/>
      <c r="Z150" s="327"/>
      <c r="AA150" s="327"/>
      <c r="AB150" s="327"/>
      <c r="AC150" s="327"/>
      <c r="AD150" s="327"/>
    </row>
    <row r="151" ht="23.25" customHeight="1">
      <c r="A151" s="327"/>
      <c r="B151" s="327"/>
      <c r="C151" s="327"/>
      <c r="D151" s="327"/>
      <c r="E151" s="327"/>
      <c r="F151" s="327"/>
      <c r="G151" s="327"/>
      <c r="H151" s="327"/>
      <c r="I151" s="327"/>
      <c r="J151" s="327"/>
      <c r="K151" s="327"/>
      <c r="L151" s="327"/>
      <c r="M151" s="327"/>
      <c r="N151" s="327"/>
      <c r="O151" s="327"/>
      <c r="P151" s="327"/>
      <c r="Q151" s="327"/>
      <c r="R151" s="327"/>
      <c r="S151" s="327"/>
      <c r="T151" s="327"/>
      <c r="U151" s="327"/>
      <c r="V151" s="327"/>
      <c r="W151" s="327"/>
      <c r="X151" s="327"/>
      <c r="Y151" s="327"/>
      <c r="Z151" s="327"/>
      <c r="AA151" s="327"/>
      <c r="AB151" s="327"/>
      <c r="AC151" s="327"/>
      <c r="AD151" s="327"/>
    </row>
    <row r="152" ht="23.25" customHeight="1">
      <c r="A152" s="327"/>
      <c r="B152" s="327"/>
      <c r="C152" s="327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7"/>
      <c r="T152" s="327"/>
      <c r="U152" s="327"/>
      <c r="V152" s="327"/>
      <c r="W152" s="327"/>
      <c r="X152" s="327"/>
      <c r="Y152" s="327"/>
      <c r="Z152" s="327"/>
      <c r="AA152" s="327"/>
      <c r="AB152" s="327"/>
      <c r="AC152" s="327"/>
      <c r="AD152" s="327"/>
    </row>
    <row r="153" ht="23.25" customHeight="1">
      <c r="A153" s="327"/>
      <c r="B153" s="327"/>
      <c r="C153" s="327"/>
      <c r="D153" s="327"/>
      <c r="E153" s="327"/>
      <c r="F153" s="327"/>
      <c r="G153" s="327"/>
      <c r="H153" s="327"/>
      <c r="I153" s="327"/>
      <c r="J153" s="327"/>
      <c r="K153" s="327"/>
      <c r="L153" s="327"/>
      <c r="M153" s="327"/>
      <c r="N153" s="327"/>
      <c r="O153" s="327"/>
      <c r="P153" s="327"/>
      <c r="Q153" s="327"/>
      <c r="R153" s="327"/>
      <c r="S153" s="327"/>
      <c r="T153" s="327"/>
      <c r="U153" s="327"/>
      <c r="V153" s="327"/>
      <c r="W153" s="327"/>
      <c r="X153" s="327"/>
      <c r="Y153" s="327"/>
      <c r="Z153" s="327"/>
      <c r="AA153" s="327"/>
      <c r="AB153" s="327"/>
      <c r="AC153" s="327"/>
      <c r="AD153" s="327"/>
    </row>
    <row r="154" ht="23.25" customHeight="1">
      <c r="A154" s="327"/>
      <c r="B154" s="327"/>
      <c r="C154" s="327"/>
      <c r="D154" s="327"/>
      <c r="E154" s="327"/>
      <c r="F154" s="327"/>
      <c r="G154" s="327"/>
      <c r="H154" s="327"/>
      <c r="I154" s="327"/>
      <c r="J154" s="327"/>
      <c r="K154" s="327"/>
      <c r="L154" s="327"/>
      <c r="M154" s="327"/>
      <c r="N154" s="327"/>
      <c r="O154" s="327"/>
      <c r="P154" s="327"/>
      <c r="Q154" s="327"/>
      <c r="R154" s="327"/>
      <c r="S154" s="327"/>
      <c r="T154" s="327"/>
      <c r="U154" s="327"/>
      <c r="V154" s="327"/>
      <c r="W154" s="327"/>
      <c r="X154" s="327"/>
      <c r="Y154" s="327"/>
      <c r="Z154" s="327"/>
      <c r="AA154" s="327"/>
      <c r="AB154" s="327"/>
      <c r="AC154" s="327"/>
      <c r="AD154" s="327"/>
    </row>
    <row r="155" ht="23.25" customHeight="1">
      <c r="A155" s="327"/>
      <c r="B155" s="327"/>
      <c r="C155" s="327"/>
      <c r="D155" s="327"/>
      <c r="E155" s="327"/>
      <c r="F155" s="327"/>
      <c r="G155" s="327"/>
      <c r="H155" s="327"/>
      <c r="I155" s="327"/>
      <c r="J155" s="327"/>
      <c r="K155" s="327"/>
      <c r="L155" s="327"/>
      <c r="M155" s="327"/>
      <c r="N155" s="327"/>
      <c r="O155" s="327"/>
      <c r="P155" s="327"/>
      <c r="Q155" s="327"/>
      <c r="R155" s="327"/>
      <c r="S155" s="327"/>
      <c r="T155" s="327"/>
      <c r="U155" s="327"/>
      <c r="V155" s="327"/>
      <c r="W155" s="327"/>
      <c r="X155" s="327"/>
      <c r="Y155" s="327"/>
      <c r="Z155" s="327"/>
      <c r="AA155" s="327"/>
      <c r="AB155" s="327"/>
      <c r="AC155" s="327"/>
      <c r="AD155" s="327"/>
    </row>
    <row r="156" ht="23.25" customHeight="1">
      <c r="A156" s="327"/>
      <c r="B156" s="327"/>
      <c r="C156" s="327"/>
      <c r="D156" s="327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7"/>
      <c r="P156" s="327"/>
      <c r="Q156" s="327"/>
      <c r="R156" s="327"/>
      <c r="S156" s="327"/>
      <c r="T156" s="327"/>
      <c r="U156" s="327"/>
      <c r="V156" s="327"/>
      <c r="W156" s="327"/>
      <c r="X156" s="327"/>
      <c r="Y156" s="327"/>
      <c r="Z156" s="327"/>
      <c r="AA156" s="327"/>
      <c r="AB156" s="327"/>
      <c r="AC156" s="327"/>
      <c r="AD156" s="327"/>
    </row>
    <row r="157" ht="23.25" customHeight="1">
      <c r="A157" s="327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327"/>
      <c r="M157" s="327"/>
      <c r="N157" s="327"/>
      <c r="O157" s="327"/>
      <c r="P157" s="327"/>
      <c r="Q157" s="327"/>
      <c r="R157" s="327"/>
      <c r="S157" s="327"/>
      <c r="T157" s="327"/>
      <c r="U157" s="327"/>
      <c r="V157" s="327"/>
      <c r="W157" s="327"/>
      <c r="X157" s="327"/>
      <c r="Y157" s="327"/>
      <c r="Z157" s="327"/>
      <c r="AA157" s="327"/>
      <c r="AB157" s="327"/>
      <c r="AC157" s="327"/>
      <c r="AD157" s="327"/>
    </row>
    <row r="158" ht="23.25" customHeight="1">
      <c r="A158" s="327"/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327"/>
      <c r="M158" s="327"/>
      <c r="N158" s="327"/>
      <c r="O158" s="327"/>
      <c r="P158" s="327"/>
      <c r="Q158" s="327"/>
      <c r="R158" s="327"/>
      <c r="S158" s="327"/>
      <c r="T158" s="327"/>
      <c r="U158" s="327"/>
      <c r="V158" s="327"/>
      <c r="W158" s="327"/>
      <c r="X158" s="327"/>
      <c r="Y158" s="327"/>
      <c r="Z158" s="327"/>
      <c r="AA158" s="327"/>
      <c r="AB158" s="327"/>
      <c r="AC158" s="327"/>
      <c r="AD158" s="327"/>
    </row>
    <row r="159" ht="23.25" customHeight="1">
      <c r="A159" s="327"/>
      <c r="B159" s="327"/>
      <c r="C159" s="327"/>
      <c r="D159" s="327"/>
      <c r="E159" s="327"/>
      <c r="F159" s="327"/>
      <c r="G159" s="327"/>
      <c r="H159" s="327"/>
      <c r="I159" s="327"/>
      <c r="J159" s="327"/>
      <c r="K159" s="327"/>
      <c r="L159" s="327"/>
      <c r="M159" s="327"/>
      <c r="N159" s="327"/>
      <c r="O159" s="327"/>
      <c r="P159" s="327"/>
      <c r="Q159" s="327"/>
      <c r="R159" s="327"/>
      <c r="S159" s="327"/>
      <c r="T159" s="327"/>
      <c r="U159" s="327"/>
      <c r="V159" s="327"/>
      <c r="W159" s="327"/>
      <c r="X159" s="327"/>
      <c r="Y159" s="327"/>
      <c r="Z159" s="327"/>
      <c r="AA159" s="327"/>
      <c r="AB159" s="327"/>
      <c r="AC159" s="327"/>
      <c r="AD159" s="327"/>
    </row>
    <row r="160" ht="23.25" customHeight="1">
      <c r="A160" s="327"/>
      <c r="B160" s="327"/>
      <c r="C160" s="327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7"/>
      <c r="T160" s="327"/>
      <c r="U160" s="327"/>
      <c r="V160" s="327"/>
      <c r="W160" s="327"/>
      <c r="X160" s="327"/>
      <c r="Y160" s="327"/>
      <c r="Z160" s="327"/>
      <c r="AA160" s="327"/>
      <c r="AB160" s="327"/>
      <c r="AC160" s="327"/>
      <c r="AD160" s="327"/>
    </row>
    <row r="161" ht="23.25" customHeight="1">
      <c r="A161" s="327"/>
      <c r="B161" s="327"/>
      <c r="C161" s="327"/>
      <c r="D161" s="327"/>
      <c r="E161" s="327"/>
      <c r="F161" s="327"/>
      <c r="G161" s="327"/>
      <c r="H161" s="327"/>
      <c r="I161" s="327"/>
      <c r="J161" s="327"/>
      <c r="K161" s="327"/>
      <c r="L161" s="327"/>
      <c r="M161" s="327"/>
      <c r="N161" s="327"/>
      <c r="O161" s="327"/>
      <c r="P161" s="327"/>
      <c r="Q161" s="327"/>
      <c r="R161" s="327"/>
      <c r="S161" s="327"/>
      <c r="T161" s="327"/>
      <c r="U161" s="327"/>
      <c r="V161" s="327"/>
      <c r="W161" s="327"/>
      <c r="X161" s="327"/>
      <c r="Y161" s="327"/>
      <c r="Z161" s="327"/>
      <c r="AA161" s="327"/>
      <c r="AB161" s="327"/>
      <c r="AC161" s="327"/>
      <c r="AD161" s="327"/>
    </row>
    <row r="162" ht="23.25" customHeight="1">
      <c r="A162" s="327"/>
      <c r="B162" s="327"/>
      <c r="C162" s="327"/>
      <c r="D162" s="327"/>
      <c r="E162" s="327"/>
      <c r="F162" s="327"/>
      <c r="G162" s="327"/>
      <c r="H162" s="327"/>
      <c r="I162" s="327"/>
      <c r="J162" s="327"/>
      <c r="K162" s="327"/>
      <c r="L162" s="327"/>
      <c r="M162" s="327"/>
      <c r="N162" s="327"/>
      <c r="O162" s="327"/>
      <c r="P162" s="327"/>
      <c r="Q162" s="327"/>
      <c r="R162" s="327"/>
      <c r="S162" s="327"/>
      <c r="T162" s="327"/>
      <c r="U162" s="327"/>
      <c r="V162" s="327"/>
      <c r="W162" s="327"/>
      <c r="X162" s="327"/>
      <c r="Y162" s="327"/>
      <c r="Z162" s="327"/>
      <c r="AA162" s="327"/>
      <c r="AB162" s="327"/>
      <c r="AC162" s="327"/>
      <c r="AD162" s="327"/>
    </row>
    <row r="163" ht="23.25" customHeight="1">
      <c r="A163" s="327"/>
      <c r="B163" s="327"/>
      <c r="C163" s="327"/>
      <c r="D163" s="327"/>
      <c r="E163" s="327"/>
      <c r="F163" s="327"/>
      <c r="G163" s="327"/>
      <c r="H163" s="327"/>
      <c r="I163" s="327"/>
      <c r="J163" s="327"/>
      <c r="K163" s="327"/>
      <c r="L163" s="327"/>
      <c r="M163" s="327"/>
      <c r="N163" s="327"/>
      <c r="O163" s="327"/>
      <c r="P163" s="327"/>
      <c r="Q163" s="327"/>
      <c r="R163" s="327"/>
      <c r="S163" s="327"/>
      <c r="T163" s="327"/>
      <c r="U163" s="327"/>
      <c r="V163" s="327"/>
      <c r="W163" s="327"/>
      <c r="X163" s="327"/>
      <c r="Y163" s="327"/>
      <c r="Z163" s="327"/>
      <c r="AA163" s="327"/>
      <c r="AB163" s="327"/>
      <c r="AC163" s="327"/>
      <c r="AD163" s="327"/>
    </row>
    <row r="164" ht="23.25" customHeight="1">
      <c r="A164" s="327"/>
      <c r="B164" s="327"/>
      <c r="C164" s="327"/>
      <c r="D164" s="327"/>
      <c r="E164" s="327"/>
      <c r="F164" s="327"/>
      <c r="G164" s="327"/>
      <c r="H164" s="327"/>
      <c r="I164" s="327"/>
      <c r="J164" s="327"/>
      <c r="K164" s="327"/>
      <c r="L164" s="327"/>
      <c r="M164" s="327"/>
      <c r="N164" s="327"/>
      <c r="O164" s="327"/>
      <c r="P164" s="327"/>
      <c r="Q164" s="327"/>
      <c r="R164" s="327"/>
      <c r="S164" s="327"/>
      <c r="T164" s="327"/>
      <c r="U164" s="327"/>
      <c r="V164" s="327"/>
      <c r="W164" s="327"/>
      <c r="X164" s="327"/>
      <c r="Y164" s="327"/>
      <c r="Z164" s="327"/>
      <c r="AA164" s="327"/>
      <c r="AB164" s="327"/>
      <c r="AC164" s="327"/>
      <c r="AD164" s="327"/>
    </row>
    <row r="165" ht="23.25" customHeight="1">
      <c r="A165" s="327"/>
      <c r="B165" s="327"/>
      <c r="C165" s="327"/>
      <c r="D165" s="327"/>
      <c r="E165" s="327"/>
      <c r="F165" s="327"/>
      <c r="G165" s="327"/>
      <c r="H165" s="327"/>
      <c r="I165" s="327"/>
      <c r="J165" s="327"/>
      <c r="K165" s="327"/>
      <c r="L165" s="327"/>
      <c r="M165" s="327"/>
      <c r="N165" s="327"/>
      <c r="O165" s="327"/>
      <c r="P165" s="327"/>
      <c r="Q165" s="327"/>
      <c r="R165" s="327"/>
      <c r="S165" s="327"/>
      <c r="T165" s="327"/>
      <c r="U165" s="327"/>
      <c r="V165" s="327"/>
      <c r="W165" s="327"/>
      <c r="X165" s="327"/>
      <c r="Y165" s="327"/>
      <c r="Z165" s="327"/>
      <c r="AA165" s="327"/>
      <c r="AB165" s="327"/>
      <c r="AC165" s="327"/>
      <c r="AD165" s="327"/>
    </row>
    <row r="166" ht="23.25" customHeight="1">
      <c r="A166" s="327"/>
      <c r="B166" s="327"/>
      <c r="C166" s="327"/>
      <c r="D166" s="327"/>
      <c r="E166" s="327"/>
      <c r="F166" s="327"/>
      <c r="G166" s="327"/>
      <c r="H166" s="327"/>
      <c r="I166" s="327"/>
      <c r="J166" s="327"/>
      <c r="K166" s="327"/>
      <c r="L166" s="327"/>
      <c r="M166" s="327"/>
      <c r="N166" s="327"/>
      <c r="O166" s="327"/>
      <c r="P166" s="327"/>
      <c r="Q166" s="327"/>
      <c r="R166" s="327"/>
      <c r="S166" s="327"/>
      <c r="T166" s="327"/>
      <c r="U166" s="327"/>
      <c r="V166" s="327"/>
      <c r="W166" s="327"/>
      <c r="X166" s="327"/>
      <c r="Y166" s="327"/>
      <c r="Z166" s="327"/>
      <c r="AA166" s="327"/>
      <c r="AB166" s="327"/>
      <c r="AC166" s="327"/>
      <c r="AD166" s="327"/>
    </row>
    <row r="167" ht="23.25" customHeight="1">
      <c r="A167" s="327"/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327"/>
      <c r="M167" s="327"/>
      <c r="N167" s="327"/>
      <c r="O167" s="327"/>
      <c r="P167" s="327"/>
      <c r="Q167" s="327"/>
      <c r="R167" s="327"/>
      <c r="S167" s="327"/>
      <c r="T167" s="327"/>
      <c r="U167" s="327"/>
      <c r="V167" s="327"/>
      <c r="W167" s="327"/>
      <c r="X167" s="327"/>
      <c r="Y167" s="327"/>
      <c r="Z167" s="327"/>
      <c r="AA167" s="327"/>
      <c r="AB167" s="327"/>
      <c r="AC167" s="327"/>
      <c r="AD167" s="327"/>
    </row>
    <row r="168" ht="23.25" customHeight="1">
      <c r="A168" s="327"/>
      <c r="B168" s="327"/>
      <c r="C168" s="327"/>
      <c r="D168" s="327"/>
      <c r="E168" s="327"/>
      <c r="F168" s="327"/>
      <c r="G168" s="327"/>
      <c r="H168" s="327"/>
      <c r="I168" s="327"/>
      <c r="J168" s="327"/>
      <c r="K168" s="327"/>
      <c r="L168" s="327"/>
      <c r="M168" s="327"/>
      <c r="N168" s="327"/>
      <c r="O168" s="327"/>
      <c r="P168" s="327"/>
      <c r="Q168" s="327"/>
      <c r="R168" s="327"/>
      <c r="S168" s="327"/>
      <c r="T168" s="327"/>
      <c r="U168" s="327"/>
      <c r="V168" s="327"/>
      <c r="W168" s="327"/>
      <c r="X168" s="327"/>
      <c r="Y168" s="327"/>
      <c r="Z168" s="327"/>
      <c r="AA168" s="327"/>
      <c r="AB168" s="327"/>
      <c r="AC168" s="327"/>
      <c r="AD168" s="327"/>
    </row>
    <row r="169" ht="23.25" customHeight="1">
      <c r="A169" s="327"/>
      <c r="B169" s="327"/>
      <c r="C169" s="327"/>
      <c r="D169" s="327"/>
      <c r="E169" s="327"/>
      <c r="F169" s="327"/>
      <c r="G169" s="327"/>
      <c r="H169" s="327"/>
      <c r="I169" s="327"/>
      <c r="J169" s="327"/>
      <c r="K169" s="327"/>
      <c r="L169" s="327"/>
      <c r="M169" s="327"/>
      <c r="N169" s="327"/>
      <c r="O169" s="327"/>
      <c r="P169" s="327"/>
      <c r="Q169" s="327"/>
      <c r="R169" s="327"/>
      <c r="S169" s="327"/>
      <c r="T169" s="327"/>
      <c r="U169" s="327"/>
      <c r="V169" s="327"/>
      <c r="W169" s="327"/>
      <c r="X169" s="327"/>
      <c r="Y169" s="327"/>
      <c r="Z169" s="327"/>
      <c r="AA169" s="327"/>
      <c r="AB169" s="327"/>
      <c r="AC169" s="327"/>
      <c r="AD169" s="327"/>
    </row>
    <row r="170" ht="23.25" customHeight="1">
      <c r="A170" s="327"/>
      <c r="B170" s="327"/>
      <c r="C170" s="327"/>
      <c r="D170" s="327"/>
      <c r="E170" s="327"/>
      <c r="F170" s="327"/>
      <c r="G170" s="327"/>
      <c r="H170" s="327"/>
      <c r="I170" s="327"/>
      <c r="J170" s="327"/>
      <c r="K170" s="327"/>
      <c r="L170" s="327"/>
      <c r="M170" s="327"/>
      <c r="N170" s="327"/>
      <c r="O170" s="327"/>
      <c r="P170" s="327"/>
      <c r="Q170" s="327"/>
      <c r="R170" s="327"/>
      <c r="S170" s="327"/>
      <c r="T170" s="327"/>
      <c r="U170" s="327"/>
      <c r="V170" s="327"/>
      <c r="W170" s="327"/>
      <c r="X170" s="327"/>
      <c r="Y170" s="327"/>
      <c r="Z170" s="327"/>
      <c r="AA170" s="327"/>
      <c r="AB170" s="327"/>
      <c r="AC170" s="327"/>
      <c r="AD170" s="327"/>
    </row>
    <row r="171" ht="23.25" customHeight="1">
      <c r="A171" s="327"/>
      <c r="B171" s="327"/>
      <c r="C171" s="327"/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327"/>
      <c r="O171" s="327"/>
      <c r="P171" s="327"/>
      <c r="Q171" s="327"/>
      <c r="R171" s="327"/>
      <c r="S171" s="327"/>
      <c r="T171" s="327"/>
      <c r="U171" s="327"/>
      <c r="V171" s="327"/>
      <c r="W171" s="327"/>
      <c r="X171" s="327"/>
      <c r="Y171" s="327"/>
      <c r="Z171" s="327"/>
      <c r="AA171" s="327"/>
      <c r="AB171" s="327"/>
      <c r="AC171" s="327"/>
      <c r="AD171" s="327"/>
    </row>
    <row r="172" ht="23.25" customHeight="1">
      <c r="A172" s="327"/>
      <c r="B172" s="327"/>
      <c r="C172" s="327"/>
      <c r="D172" s="327"/>
      <c r="E172" s="327"/>
      <c r="F172" s="327"/>
      <c r="G172" s="327"/>
      <c r="H172" s="327"/>
      <c r="I172" s="327"/>
      <c r="J172" s="327"/>
      <c r="K172" s="327"/>
      <c r="L172" s="327"/>
      <c r="M172" s="327"/>
      <c r="N172" s="327"/>
      <c r="O172" s="327"/>
      <c r="P172" s="327"/>
      <c r="Q172" s="327"/>
      <c r="R172" s="327"/>
      <c r="S172" s="327"/>
      <c r="T172" s="327"/>
      <c r="U172" s="327"/>
      <c r="V172" s="327"/>
      <c r="W172" s="327"/>
      <c r="X172" s="327"/>
      <c r="Y172" s="327"/>
      <c r="Z172" s="327"/>
      <c r="AA172" s="327"/>
      <c r="AB172" s="327"/>
      <c r="AC172" s="327"/>
      <c r="AD172" s="327"/>
    </row>
    <row r="173" ht="23.25" customHeight="1">
      <c r="A173" s="327"/>
      <c r="B173" s="327"/>
      <c r="C173" s="327"/>
      <c r="D173" s="327"/>
      <c r="E173" s="327"/>
      <c r="F173" s="327"/>
      <c r="G173" s="327"/>
      <c r="H173" s="327"/>
      <c r="I173" s="327"/>
      <c r="J173" s="327"/>
      <c r="K173" s="327"/>
      <c r="L173" s="327"/>
      <c r="M173" s="327"/>
      <c r="N173" s="327"/>
      <c r="O173" s="327"/>
      <c r="P173" s="327"/>
      <c r="Q173" s="327"/>
      <c r="R173" s="327"/>
      <c r="S173" s="327"/>
      <c r="T173" s="327"/>
      <c r="U173" s="327"/>
      <c r="V173" s="327"/>
      <c r="W173" s="327"/>
      <c r="X173" s="327"/>
      <c r="Y173" s="327"/>
      <c r="Z173" s="327"/>
      <c r="AA173" s="327"/>
      <c r="AB173" s="327"/>
      <c r="AC173" s="327"/>
      <c r="AD173" s="327"/>
    </row>
    <row r="174" ht="23.25" customHeight="1">
      <c r="A174" s="327"/>
      <c r="B174" s="327"/>
      <c r="C174" s="327"/>
      <c r="D174" s="327"/>
      <c r="E174" s="327"/>
      <c r="F174" s="327"/>
      <c r="G174" s="327"/>
      <c r="H174" s="327"/>
      <c r="I174" s="327"/>
      <c r="J174" s="327"/>
      <c r="K174" s="327"/>
      <c r="L174" s="327"/>
      <c r="M174" s="327"/>
      <c r="N174" s="327"/>
      <c r="O174" s="327"/>
      <c r="P174" s="327"/>
      <c r="Q174" s="327"/>
      <c r="R174" s="327"/>
      <c r="S174" s="327"/>
      <c r="T174" s="327"/>
      <c r="U174" s="327"/>
      <c r="V174" s="327"/>
      <c r="W174" s="327"/>
      <c r="X174" s="327"/>
      <c r="Y174" s="327"/>
      <c r="Z174" s="327"/>
      <c r="AA174" s="327"/>
      <c r="AB174" s="327"/>
      <c r="AC174" s="327"/>
      <c r="AD174" s="327"/>
    </row>
    <row r="175" ht="23.25" customHeight="1">
      <c r="A175" s="327"/>
      <c r="B175" s="327"/>
      <c r="C175" s="327"/>
      <c r="D175" s="327"/>
      <c r="E175" s="327"/>
      <c r="F175" s="327"/>
      <c r="G175" s="327"/>
      <c r="H175" s="327"/>
      <c r="I175" s="327"/>
      <c r="J175" s="327"/>
      <c r="K175" s="327"/>
      <c r="L175" s="327"/>
      <c r="M175" s="327"/>
      <c r="N175" s="327"/>
      <c r="O175" s="327"/>
      <c r="P175" s="327"/>
      <c r="Q175" s="327"/>
      <c r="R175" s="327"/>
      <c r="S175" s="327"/>
      <c r="T175" s="327"/>
      <c r="U175" s="327"/>
      <c r="V175" s="327"/>
      <c r="W175" s="327"/>
      <c r="X175" s="327"/>
      <c r="Y175" s="327"/>
      <c r="Z175" s="327"/>
      <c r="AA175" s="327"/>
      <c r="AB175" s="327"/>
      <c r="AC175" s="327"/>
      <c r="AD175" s="327"/>
    </row>
    <row r="176" ht="23.25" customHeight="1">
      <c r="A176" s="327"/>
      <c r="B176" s="327"/>
      <c r="C176" s="327"/>
      <c r="D176" s="327"/>
      <c r="E176" s="327"/>
      <c r="F176" s="327"/>
      <c r="G176" s="327"/>
      <c r="H176" s="327"/>
      <c r="I176" s="327"/>
      <c r="J176" s="327"/>
      <c r="K176" s="327"/>
      <c r="L176" s="327"/>
      <c r="M176" s="327"/>
      <c r="N176" s="327"/>
      <c r="O176" s="327"/>
      <c r="P176" s="327"/>
      <c r="Q176" s="327"/>
      <c r="R176" s="327"/>
      <c r="S176" s="327"/>
      <c r="T176" s="327"/>
      <c r="U176" s="327"/>
      <c r="V176" s="327"/>
      <c r="W176" s="327"/>
      <c r="X176" s="327"/>
      <c r="Y176" s="327"/>
      <c r="Z176" s="327"/>
      <c r="AA176" s="327"/>
      <c r="AB176" s="327"/>
      <c r="AC176" s="327"/>
      <c r="AD176" s="327"/>
    </row>
    <row r="177" ht="23.25" customHeight="1">
      <c r="A177" s="327"/>
      <c r="B177" s="327"/>
      <c r="C177" s="327"/>
      <c r="D177" s="327"/>
      <c r="E177" s="327"/>
      <c r="F177" s="327"/>
      <c r="G177" s="327"/>
      <c r="H177" s="327"/>
      <c r="I177" s="327"/>
      <c r="J177" s="327"/>
      <c r="K177" s="327"/>
      <c r="L177" s="327"/>
      <c r="M177" s="327"/>
      <c r="N177" s="327"/>
      <c r="O177" s="327"/>
      <c r="P177" s="327"/>
      <c r="Q177" s="327"/>
      <c r="R177" s="327"/>
      <c r="S177" s="327"/>
      <c r="T177" s="327"/>
      <c r="U177" s="327"/>
      <c r="V177" s="327"/>
      <c r="W177" s="327"/>
      <c r="X177" s="327"/>
      <c r="Y177" s="327"/>
      <c r="Z177" s="327"/>
      <c r="AA177" s="327"/>
      <c r="AB177" s="327"/>
      <c r="AC177" s="327"/>
      <c r="AD177" s="327"/>
    </row>
    <row r="178" ht="23.25" customHeight="1">
      <c r="A178" s="327"/>
      <c r="B178" s="327"/>
      <c r="C178" s="327"/>
      <c r="D178" s="327"/>
      <c r="E178" s="327"/>
      <c r="F178" s="327"/>
      <c r="G178" s="327"/>
      <c r="H178" s="327"/>
      <c r="I178" s="327"/>
      <c r="J178" s="327"/>
      <c r="K178" s="327"/>
      <c r="L178" s="327"/>
      <c r="M178" s="327"/>
      <c r="N178" s="327"/>
      <c r="O178" s="327"/>
      <c r="P178" s="327"/>
      <c r="Q178" s="327"/>
      <c r="R178" s="327"/>
      <c r="S178" s="327"/>
      <c r="T178" s="327"/>
      <c r="U178" s="327"/>
      <c r="V178" s="327"/>
      <c r="W178" s="327"/>
      <c r="X178" s="327"/>
      <c r="Y178" s="327"/>
      <c r="Z178" s="327"/>
      <c r="AA178" s="327"/>
      <c r="AB178" s="327"/>
      <c r="AC178" s="327"/>
      <c r="AD178" s="327"/>
    </row>
    <row r="179" ht="23.25" customHeight="1">
      <c r="A179" s="327"/>
      <c r="B179" s="327"/>
      <c r="C179" s="327"/>
      <c r="D179" s="327"/>
      <c r="E179" s="327"/>
      <c r="F179" s="327"/>
      <c r="G179" s="327"/>
      <c r="H179" s="327"/>
      <c r="I179" s="327"/>
      <c r="J179" s="327"/>
      <c r="K179" s="327"/>
      <c r="L179" s="327"/>
      <c r="M179" s="327"/>
      <c r="N179" s="327"/>
      <c r="O179" s="327"/>
      <c r="P179" s="327"/>
      <c r="Q179" s="327"/>
      <c r="R179" s="327"/>
      <c r="S179" s="327"/>
      <c r="T179" s="327"/>
      <c r="U179" s="327"/>
      <c r="V179" s="327"/>
      <c r="W179" s="327"/>
      <c r="X179" s="327"/>
      <c r="Y179" s="327"/>
      <c r="Z179" s="327"/>
      <c r="AA179" s="327"/>
      <c r="AB179" s="327"/>
      <c r="AC179" s="327"/>
      <c r="AD179" s="327"/>
    </row>
    <row r="180" ht="23.25" customHeight="1">
      <c r="A180" s="327"/>
      <c r="B180" s="327"/>
      <c r="C180" s="327"/>
      <c r="D180" s="327"/>
      <c r="E180" s="327"/>
      <c r="F180" s="327"/>
      <c r="G180" s="327"/>
      <c r="H180" s="327"/>
      <c r="I180" s="327"/>
      <c r="J180" s="327"/>
      <c r="K180" s="327"/>
      <c r="L180" s="327"/>
      <c r="M180" s="327"/>
      <c r="N180" s="327"/>
      <c r="O180" s="327"/>
      <c r="P180" s="327"/>
      <c r="Q180" s="327"/>
      <c r="R180" s="327"/>
      <c r="S180" s="327"/>
      <c r="T180" s="327"/>
      <c r="U180" s="327"/>
      <c r="V180" s="327"/>
      <c r="W180" s="327"/>
      <c r="X180" s="327"/>
      <c r="Y180" s="327"/>
      <c r="Z180" s="327"/>
      <c r="AA180" s="327"/>
      <c r="AB180" s="327"/>
      <c r="AC180" s="327"/>
      <c r="AD180" s="327"/>
    </row>
    <row r="181" ht="23.25" customHeight="1">
      <c r="A181" s="327"/>
      <c r="B181" s="327"/>
      <c r="C181" s="327"/>
      <c r="D181" s="327"/>
      <c r="E181" s="327"/>
      <c r="F181" s="327"/>
      <c r="G181" s="327"/>
      <c r="H181" s="327"/>
      <c r="I181" s="327"/>
      <c r="J181" s="327"/>
      <c r="K181" s="327"/>
      <c r="L181" s="327"/>
      <c r="M181" s="327"/>
      <c r="N181" s="327"/>
      <c r="O181" s="327"/>
      <c r="P181" s="327"/>
      <c r="Q181" s="327"/>
      <c r="R181" s="327"/>
      <c r="S181" s="327"/>
      <c r="T181" s="327"/>
      <c r="U181" s="327"/>
      <c r="V181" s="327"/>
      <c r="W181" s="327"/>
      <c r="X181" s="327"/>
      <c r="Y181" s="327"/>
      <c r="Z181" s="327"/>
      <c r="AA181" s="327"/>
      <c r="AB181" s="327"/>
      <c r="AC181" s="327"/>
      <c r="AD181" s="327"/>
    </row>
    <row r="182" ht="23.25" customHeight="1">
      <c r="A182" s="327"/>
      <c r="B182" s="327"/>
      <c r="C182" s="327"/>
      <c r="D182" s="327"/>
      <c r="E182" s="327"/>
      <c r="F182" s="327"/>
      <c r="G182" s="327"/>
      <c r="H182" s="327"/>
      <c r="I182" s="327"/>
      <c r="J182" s="327"/>
      <c r="K182" s="327"/>
      <c r="L182" s="327"/>
      <c r="M182" s="327"/>
      <c r="N182" s="327"/>
      <c r="O182" s="327"/>
      <c r="P182" s="327"/>
      <c r="Q182" s="327"/>
      <c r="R182" s="327"/>
      <c r="S182" s="327"/>
      <c r="T182" s="327"/>
      <c r="U182" s="327"/>
      <c r="V182" s="327"/>
      <c r="W182" s="327"/>
      <c r="X182" s="327"/>
      <c r="Y182" s="327"/>
      <c r="Z182" s="327"/>
      <c r="AA182" s="327"/>
      <c r="AB182" s="327"/>
      <c r="AC182" s="327"/>
      <c r="AD182" s="327"/>
    </row>
    <row r="183" ht="23.25" customHeight="1">
      <c r="A183" s="327"/>
      <c r="B183" s="327"/>
      <c r="C183" s="327"/>
      <c r="D183" s="327"/>
      <c r="E183" s="327"/>
      <c r="F183" s="327"/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ht="23.25" customHeight="1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ht="23.25" customHeight="1">
      <c r="A185" s="327"/>
      <c r="B185" s="327"/>
      <c r="C185" s="327"/>
      <c r="D185" s="327"/>
      <c r="E185" s="327"/>
      <c r="F185" s="327"/>
      <c r="G185" s="327"/>
      <c r="H185" s="327"/>
      <c r="I185" s="327"/>
      <c r="J185" s="327"/>
      <c r="K185" s="327"/>
      <c r="L185" s="327"/>
      <c r="M185" s="327"/>
      <c r="N185" s="327"/>
      <c r="O185" s="327"/>
      <c r="P185" s="327"/>
      <c r="Q185" s="327"/>
      <c r="R185" s="327"/>
      <c r="S185" s="327"/>
      <c r="T185" s="327"/>
      <c r="U185" s="327"/>
      <c r="V185" s="327"/>
      <c r="W185" s="327"/>
      <c r="X185" s="327"/>
      <c r="Y185" s="327"/>
      <c r="Z185" s="327"/>
      <c r="AA185" s="327"/>
      <c r="AB185" s="327"/>
      <c r="AC185" s="327"/>
      <c r="AD185" s="327"/>
    </row>
    <row r="186" ht="23.25" customHeight="1">
      <c r="A186" s="327"/>
      <c r="B186" s="327"/>
      <c r="C186" s="327"/>
      <c r="D186" s="327"/>
      <c r="E186" s="327"/>
      <c r="F186" s="327"/>
      <c r="G186" s="327"/>
      <c r="H186" s="327"/>
      <c r="I186" s="327"/>
      <c r="J186" s="327"/>
      <c r="K186" s="327"/>
      <c r="L186" s="327"/>
      <c r="M186" s="327"/>
      <c r="N186" s="327"/>
      <c r="O186" s="327"/>
      <c r="P186" s="327"/>
      <c r="Q186" s="327"/>
      <c r="R186" s="327"/>
      <c r="S186" s="327"/>
      <c r="T186" s="327"/>
      <c r="U186" s="327"/>
      <c r="V186" s="327"/>
      <c r="W186" s="327"/>
      <c r="X186" s="327"/>
      <c r="Y186" s="327"/>
      <c r="Z186" s="327"/>
      <c r="AA186" s="327"/>
      <c r="AB186" s="327"/>
      <c r="AC186" s="327"/>
      <c r="AD186" s="327"/>
    </row>
    <row r="187" ht="23.25" customHeight="1">
      <c r="A187" s="327"/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327"/>
      <c r="M187" s="327"/>
      <c r="N187" s="327"/>
      <c r="O187" s="327"/>
      <c r="P187" s="327"/>
      <c r="Q187" s="327"/>
      <c r="R187" s="327"/>
      <c r="S187" s="327"/>
      <c r="T187" s="327"/>
      <c r="U187" s="327"/>
      <c r="V187" s="327"/>
      <c r="W187" s="327"/>
      <c r="X187" s="327"/>
      <c r="Y187" s="327"/>
      <c r="Z187" s="327"/>
      <c r="AA187" s="327"/>
      <c r="AB187" s="327"/>
      <c r="AC187" s="327"/>
      <c r="AD187" s="327"/>
    </row>
    <row r="188" ht="23.25" customHeight="1">
      <c r="A188" s="327"/>
      <c r="B188" s="327"/>
      <c r="C188" s="327"/>
      <c r="D188" s="327"/>
      <c r="E188" s="327"/>
      <c r="F188" s="327"/>
      <c r="G188" s="327"/>
      <c r="H188" s="327"/>
      <c r="I188" s="327"/>
      <c r="J188" s="327"/>
      <c r="K188" s="327"/>
      <c r="L188" s="327"/>
      <c r="M188" s="327"/>
      <c r="N188" s="327"/>
      <c r="O188" s="327"/>
      <c r="P188" s="327"/>
      <c r="Q188" s="327"/>
      <c r="R188" s="327"/>
      <c r="S188" s="327"/>
      <c r="T188" s="327"/>
      <c r="U188" s="327"/>
      <c r="V188" s="327"/>
      <c r="W188" s="327"/>
      <c r="X188" s="327"/>
      <c r="Y188" s="327"/>
      <c r="Z188" s="327"/>
      <c r="AA188" s="327"/>
      <c r="AB188" s="327"/>
      <c r="AC188" s="327"/>
      <c r="AD188" s="327"/>
    </row>
    <row r="189" ht="23.25" customHeight="1">
      <c r="A189" s="327"/>
      <c r="B189" s="327"/>
      <c r="C189" s="327"/>
      <c r="D189" s="327"/>
      <c r="E189" s="327"/>
      <c r="F189" s="327"/>
      <c r="G189" s="327"/>
      <c r="H189" s="327"/>
      <c r="I189" s="327"/>
      <c r="J189" s="327"/>
      <c r="K189" s="327"/>
      <c r="L189" s="327"/>
      <c r="M189" s="327"/>
      <c r="N189" s="327"/>
      <c r="O189" s="327"/>
      <c r="P189" s="327"/>
      <c r="Q189" s="327"/>
      <c r="R189" s="327"/>
      <c r="S189" s="327"/>
      <c r="T189" s="327"/>
      <c r="U189" s="327"/>
      <c r="V189" s="327"/>
      <c r="W189" s="327"/>
      <c r="X189" s="327"/>
      <c r="Y189" s="327"/>
      <c r="Z189" s="327"/>
      <c r="AA189" s="327"/>
      <c r="AB189" s="327"/>
      <c r="AC189" s="327"/>
      <c r="AD189" s="327"/>
    </row>
    <row r="190" ht="23.25" customHeight="1">
      <c r="A190" s="327"/>
      <c r="B190" s="327"/>
      <c r="C190" s="327"/>
      <c r="D190" s="327"/>
      <c r="E190" s="327"/>
      <c r="F190" s="327"/>
      <c r="G190" s="327"/>
      <c r="H190" s="327"/>
      <c r="I190" s="327"/>
      <c r="J190" s="327"/>
      <c r="K190" s="327"/>
      <c r="L190" s="327"/>
      <c r="M190" s="327"/>
      <c r="N190" s="327"/>
      <c r="O190" s="327"/>
      <c r="P190" s="327"/>
      <c r="Q190" s="327"/>
      <c r="R190" s="327"/>
      <c r="S190" s="327"/>
      <c r="T190" s="327"/>
      <c r="U190" s="327"/>
      <c r="V190" s="327"/>
      <c r="W190" s="327"/>
      <c r="X190" s="327"/>
      <c r="Y190" s="327"/>
      <c r="Z190" s="327"/>
      <c r="AA190" s="327"/>
      <c r="AB190" s="327"/>
      <c r="AC190" s="327"/>
      <c r="AD190" s="327"/>
    </row>
    <row r="191" ht="23.25" customHeight="1">
      <c r="A191" s="327"/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327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</row>
    <row r="192" ht="23.25" customHeight="1">
      <c r="A192" s="327"/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327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</row>
    <row r="193" ht="23.25" customHeight="1">
      <c r="A193" s="327"/>
      <c r="B193" s="327"/>
      <c r="C193" s="327"/>
      <c r="D193" s="327"/>
      <c r="E193" s="327"/>
      <c r="F193" s="327"/>
      <c r="G193" s="327"/>
      <c r="H193" s="327"/>
      <c r="I193" s="327"/>
      <c r="J193" s="327"/>
      <c r="K193" s="327"/>
      <c r="L193" s="327"/>
      <c r="M193" s="327"/>
      <c r="N193" s="327"/>
      <c r="O193" s="327"/>
      <c r="P193" s="327"/>
      <c r="Q193" s="327"/>
      <c r="R193" s="327"/>
      <c r="S193" s="327"/>
      <c r="T193" s="327"/>
      <c r="U193" s="327"/>
      <c r="V193" s="327"/>
      <c r="W193" s="327"/>
      <c r="X193" s="327"/>
      <c r="Y193" s="327"/>
      <c r="Z193" s="327"/>
      <c r="AA193" s="327"/>
      <c r="AB193" s="327"/>
      <c r="AC193" s="327"/>
      <c r="AD193" s="327"/>
    </row>
    <row r="194" ht="23.25" customHeight="1">
      <c r="A194" s="327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327"/>
      <c r="M194" s="327"/>
      <c r="N194" s="327"/>
      <c r="O194" s="327"/>
      <c r="P194" s="327"/>
      <c r="Q194" s="327"/>
      <c r="R194" s="327"/>
      <c r="S194" s="327"/>
      <c r="T194" s="327"/>
      <c r="U194" s="327"/>
      <c r="V194" s="327"/>
      <c r="W194" s="327"/>
      <c r="X194" s="327"/>
      <c r="Y194" s="327"/>
      <c r="Z194" s="327"/>
      <c r="AA194" s="327"/>
      <c r="AB194" s="327"/>
      <c r="AC194" s="327"/>
      <c r="AD194" s="327"/>
    </row>
    <row r="195" ht="23.25" customHeight="1">
      <c r="A195" s="327"/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327"/>
      <c r="M195" s="327"/>
      <c r="N195" s="327"/>
      <c r="O195" s="327"/>
      <c r="P195" s="327"/>
      <c r="Q195" s="327"/>
      <c r="R195" s="327"/>
      <c r="S195" s="327"/>
      <c r="T195" s="327"/>
      <c r="U195" s="327"/>
      <c r="V195" s="327"/>
      <c r="W195" s="327"/>
      <c r="X195" s="327"/>
      <c r="Y195" s="327"/>
      <c r="Z195" s="327"/>
      <c r="AA195" s="327"/>
      <c r="AB195" s="327"/>
      <c r="AC195" s="327"/>
      <c r="AD195" s="327"/>
    </row>
    <row r="196" ht="23.25" customHeight="1">
      <c r="A196" s="327"/>
      <c r="B196" s="327"/>
      <c r="C196" s="327"/>
      <c r="D196" s="327"/>
      <c r="E196" s="327"/>
      <c r="F196" s="327"/>
      <c r="G196" s="327"/>
      <c r="H196" s="327"/>
      <c r="I196" s="327"/>
      <c r="J196" s="327"/>
      <c r="K196" s="327"/>
      <c r="L196" s="327"/>
      <c r="M196" s="327"/>
      <c r="N196" s="327"/>
      <c r="O196" s="327"/>
      <c r="P196" s="327"/>
      <c r="Q196" s="327"/>
      <c r="R196" s="327"/>
      <c r="S196" s="327"/>
      <c r="T196" s="327"/>
      <c r="U196" s="327"/>
      <c r="V196" s="327"/>
      <c r="W196" s="327"/>
      <c r="X196" s="327"/>
      <c r="Y196" s="327"/>
      <c r="Z196" s="327"/>
      <c r="AA196" s="327"/>
      <c r="AB196" s="327"/>
      <c r="AC196" s="327"/>
      <c r="AD196" s="327"/>
    </row>
    <row r="197" ht="23.25" customHeight="1">
      <c r="A197" s="327"/>
      <c r="B197" s="327"/>
      <c r="C197" s="327"/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327"/>
      <c r="O197" s="327"/>
      <c r="P197" s="327"/>
      <c r="Q197" s="327"/>
      <c r="R197" s="327"/>
      <c r="S197" s="327"/>
      <c r="T197" s="327"/>
      <c r="U197" s="327"/>
      <c r="V197" s="327"/>
      <c r="W197" s="327"/>
      <c r="X197" s="327"/>
      <c r="Y197" s="327"/>
      <c r="Z197" s="327"/>
      <c r="AA197" s="327"/>
      <c r="AB197" s="327"/>
      <c r="AC197" s="327"/>
      <c r="AD197" s="327"/>
    </row>
    <row r="198" ht="23.25" customHeight="1">
      <c r="A198" s="327"/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327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</row>
    <row r="199" ht="23.25" customHeight="1">
      <c r="A199" s="327"/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327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</row>
    <row r="200" ht="23.25" customHeight="1">
      <c r="A200" s="327"/>
      <c r="B200" s="327"/>
      <c r="C200" s="327"/>
      <c r="D200" s="327"/>
      <c r="E200" s="327"/>
      <c r="F200" s="327"/>
      <c r="G200" s="327"/>
      <c r="H200" s="327"/>
      <c r="I200" s="327"/>
      <c r="J200" s="327"/>
      <c r="K200" s="327"/>
      <c r="L200" s="327"/>
      <c r="M200" s="327"/>
      <c r="N200" s="327"/>
      <c r="O200" s="327"/>
      <c r="P200" s="327"/>
      <c r="Q200" s="327"/>
      <c r="R200" s="327"/>
      <c r="S200" s="327"/>
      <c r="T200" s="327"/>
      <c r="U200" s="327"/>
      <c r="V200" s="327"/>
      <c r="W200" s="327"/>
      <c r="X200" s="327"/>
      <c r="Y200" s="327"/>
      <c r="Z200" s="327"/>
      <c r="AA200" s="327"/>
      <c r="AB200" s="327"/>
      <c r="AC200" s="327"/>
      <c r="AD200" s="327"/>
    </row>
    <row r="201" ht="23.25" customHeight="1">
      <c r="A201" s="327"/>
      <c r="B201" s="327"/>
      <c r="C201" s="327"/>
      <c r="D201" s="327"/>
      <c r="E201" s="327"/>
      <c r="F201" s="327"/>
      <c r="G201" s="327"/>
      <c r="H201" s="327"/>
      <c r="I201" s="327"/>
      <c r="J201" s="327"/>
      <c r="K201" s="327"/>
      <c r="L201" s="327"/>
      <c r="M201" s="327"/>
      <c r="N201" s="327"/>
      <c r="O201" s="327"/>
      <c r="P201" s="327"/>
      <c r="Q201" s="327"/>
      <c r="R201" s="327"/>
      <c r="S201" s="327"/>
      <c r="T201" s="327"/>
      <c r="U201" s="327"/>
      <c r="V201" s="327"/>
      <c r="W201" s="327"/>
      <c r="X201" s="327"/>
      <c r="Y201" s="327"/>
      <c r="Z201" s="327"/>
      <c r="AA201" s="327"/>
      <c r="AB201" s="327"/>
      <c r="AC201" s="327"/>
      <c r="AD201" s="327"/>
    </row>
    <row r="202" ht="23.25" customHeight="1">
      <c r="A202" s="327"/>
      <c r="B202" s="327"/>
      <c r="C202" s="327"/>
      <c r="D202" s="327"/>
      <c r="E202" s="327"/>
      <c r="F202" s="327"/>
      <c r="G202" s="327"/>
      <c r="H202" s="327"/>
      <c r="I202" s="327"/>
      <c r="J202" s="327"/>
      <c r="K202" s="327"/>
      <c r="L202" s="327"/>
      <c r="M202" s="327"/>
      <c r="N202" s="327"/>
      <c r="O202" s="327"/>
      <c r="P202" s="327"/>
      <c r="Q202" s="327"/>
      <c r="R202" s="327"/>
      <c r="S202" s="327"/>
      <c r="T202" s="327"/>
      <c r="U202" s="327"/>
      <c r="V202" s="327"/>
      <c r="W202" s="327"/>
      <c r="X202" s="327"/>
      <c r="Y202" s="327"/>
      <c r="Z202" s="327"/>
      <c r="AA202" s="327"/>
      <c r="AB202" s="327"/>
      <c r="AC202" s="327"/>
      <c r="AD202" s="327"/>
    </row>
    <row r="203" ht="23.25" customHeight="1">
      <c r="A203" s="327"/>
      <c r="B203" s="327"/>
      <c r="C203" s="327"/>
      <c r="D203" s="327"/>
      <c r="E203" s="327"/>
      <c r="F203" s="327"/>
      <c r="G203" s="327"/>
      <c r="H203" s="327"/>
      <c r="I203" s="327"/>
      <c r="J203" s="327"/>
      <c r="K203" s="327"/>
      <c r="L203" s="327"/>
      <c r="M203" s="327"/>
      <c r="N203" s="327"/>
      <c r="O203" s="327"/>
      <c r="P203" s="327"/>
      <c r="Q203" s="327"/>
      <c r="R203" s="327"/>
      <c r="S203" s="327"/>
      <c r="T203" s="327"/>
      <c r="U203" s="327"/>
      <c r="V203" s="327"/>
      <c r="W203" s="327"/>
      <c r="X203" s="327"/>
      <c r="Y203" s="327"/>
      <c r="Z203" s="327"/>
      <c r="AA203" s="327"/>
      <c r="AB203" s="327"/>
      <c r="AC203" s="327"/>
      <c r="AD203" s="327"/>
    </row>
    <row r="204" ht="23.25" customHeight="1">
      <c r="A204" s="327"/>
      <c r="B204" s="327"/>
      <c r="C204" s="327"/>
      <c r="D204" s="327"/>
      <c r="E204" s="327"/>
      <c r="F204" s="327"/>
      <c r="G204" s="327"/>
      <c r="H204" s="327"/>
      <c r="I204" s="327"/>
      <c r="J204" s="327"/>
      <c r="K204" s="327"/>
      <c r="L204" s="327"/>
      <c r="M204" s="327"/>
      <c r="N204" s="327"/>
      <c r="O204" s="327"/>
      <c r="P204" s="327"/>
      <c r="Q204" s="327"/>
      <c r="R204" s="327"/>
      <c r="S204" s="327"/>
      <c r="T204" s="327"/>
      <c r="U204" s="327"/>
      <c r="V204" s="327"/>
      <c r="W204" s="327"/>
      <c r="X204" s="327"/>
      <c r="Y204" s="327"/>
      <c r="Z204" s="327"/>
      <c r="AA204" s="327"/>
      <c r="AB204" s="327"/>
      <c r="AC204" s="327"/>
      <c r="AD204" s="327"/>
    </row>
    <row r="205" ht="23.25" customHeight="1">
      <c r="A205" s="327"/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327"/>
      <c r="T205" s="327"/>
      <c r="U205" s="327"/>
      <c r="V205" s="327"/>
      <c r="W205" s="327"/>
      <c r="X205" s="327"/>
      <c r="Y205" s="327"/>
      <c r="Z205" s="327"/>
      <c r="AA205" s="327"/>
      <c r="AB205" s="327"/>
      <c r="AC205" s="327"/>
      <c r="AD205" s="327"/>
    </row>
    <row r="206" ht="23.25" customHeight="1">
      <c r="A206" s="327"/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327"/>
      <c r="T206" s="327"/>
      <c r="U206" s="327"/>
      <c r="V206" s="327"/>
      <c r="W206" s="327"/>
      <c r="X206" s="327"/>
      <c r="Y206" s="327"/>
      <c r="Z206" s="327"/>
      <c r="AA206" s="327"/>
      <c r="AB206" s="327"/>
      <c r="AC206" s="327"/>
      <c r="AD206" s="327"/>
    </row>
    <row r="207" ht="23.25" customHeight="1">
      <c r="A207" s="327"/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7"/>
      <c r="P207" s="327"/>
      <c r="Q207" s="327"/>
      <c r="R207" s="327"/>
      <c r="S207" s="327"/>
      <c r="T207" s="327"/>
      <c r="U207" s="327"/>
      <c r="V207" s="327"/>
      <c r="W207" s="327"/>
      <c r="X207" s="327"/>
      <c r="Y207" s="327"/>
      <c r="Z207" s="327"/>
      <c r="AA207" s="327"/>
      <c r="AB207" s="327"/>
      <c r="AC207" s="327"/>
      <c r="AD207" s="327"/>
    </row>
    <row r="208" ht="23.25" customHeight="1">
      <c r="A208" s="327"/>
      <c r="B208" s="327"/>
      <c r="C208" s="327"/>
      <c r="D208" s="327"/>
      <c r="E208" s="327"/>
      <c r="F208" s="327"/>
      <c r="G208" s="327"/>
      <c r="H208" s="327"/>
      <c r="I208" s="327"/>
      <c r="J208" s="327"/>
      <c r="K208" s="327"/>
      <c r="L208" s="327"/>
      <c r="M208" s="327"/>
      <c r="N208" s="327"/>
      <c r="O208" s="327"/>
      <c r="P208" s="327"/>
      <c r="Q208" s="327"/>
      <c r="R208" s="327"/>
      <c r="S208" s="327"/>
      <c r="T208" s="327"/>
      <c r="U208" s="327"/>
      <c r="V208" s="327"/>
      <c r="W208" s="327"/>
      <c r="X208" s="327"/>
      <c r="Y208" s="327"/>
      <c r="Z208" s="327"/>
      <c r="AA208" s="327"/>
      <c r="AB208" s="327"/>
      <c r="AC208" s="327"/>
      <c r="AD208" s="327"/>
    </row>
    <row r="209" ht="23.25" customHeight="1">
      <c r="A209" s="327"/>
      <c r="B209" s="327"/>
      <c r="C209" s="327"/>
      <c r="D209" s="327"/>
      <c r="E209" s="327"/>
      <c r="F209" s="327"/>
      <c r="G209" s="327"/>
      <c r="H209" s="327"/>
      <c r="I209" s="327"/>
      <c r="J209" s="327"/>
      <c r="K209" s="327"/>
      <c r="L209" s="327"/>
      <c r="M209" s="327"/>
      <c r="N209" s="327"/>
      <c r="O209" s="327"/>
      <c r="P209" s="327"/>
      <c r="Q209" s="327"/>
      <c r="R209" s="327"/>
      <c r="S209" s="327"/>
      <c r="T209" s="327"/>
      <c r="U209" s="327"/>
      <c r="V209" s="327"/>
      <c r="W209" s="327"/>
      <c r="X209" s="327"/>
      <c r="Y209" s="327"/>
      <c r="Z209" s="327"/>
      <c r="AA209" s="327"/>
      <c r="AB209" s="327"/>
      <c r="AC209" s="327"/>
      <c r="AD209" s="327"/>
    </row>
    <row r="210" ht="23.25" customHeight="1">
      <c r="A210" s="327"/>
      <c r="B210" s="327"/>
      <c r="C210" s="327"/>
      <c r="D210" s="327"/>
      <c r="E210" s="327"/>
      <c r="F210" s="327"/>
      <c r="G210" s="327"/>
      <c r="H210" s="327"/>
      <c r="I210" s="327"/>
      <c r="J210" s="327"/>
      <c r="K210" s="327"/>
      <c r="L210" s="327"/>
      <c r="M210" s="327"/>
      <c r="N210" s="327"/>
      <c r="O210" s="327"/>
      <c r="P210" s="327"/>
      <c r="Q210" s="327"/>
      <c r="R210" s="327"/>
      <c r="S210" s="327"/>
      <c r="T210" s="327"/>
      <c r="U210" s="327"/>
      <c r="V210" s="327"/>
      <c r="W210" s="327"/>
      <c r="X210" s="327"/>
      <c r="Y210" s="327"/>
      <c r="Z210" s="327"/>
      <c r="AA210" s="327"/>
      <c r="AB210" s="327"/>
      <c r="AC210" s="327"/>
      <c r="AD210" s="327"/>
    </row>
    <row r="211" ht="23.25" customHeight="1">
      <c r="A211" s="327"/>
      <c r="B211" s="327"/>
      <c r="C211" s="327"/>
      <c r="D211" s="327"/>
      <c r="E211" s="327"/>
      <c r="F211" s="327"/>
      <c r="G211" s="327"/>
      <c r="H211" s="327"/>
      <c r="I211" s="327"/>
      <c r="J211" s="327"/>
      <c r="K211" s="327"/>
      <c r="L211" s="327"/>
      <c r="M211" s="327"/>
      <c r="N211" s="327"/>
      <c r="O211" s="327"/>
      <c r="P211" s="327"/>
      <c r="Q211" s="327"/>
      <c r="R211" s="327"/>
      <c r="S211" s="327"/>
      <c r="T211" s="327"/>
      <c r="U211" s="327"/>
      <c r="V211" s="327"/>
      <c r="W211" s="327"/>
      <c r="X211" s="327"/>
      <c r="Y211" s="327"/>
      <c r="Z211" s="327"/>
      <c r="AA211" s="327"/>
      <c r="AB211" s="327"/>
      <c r="AC211" s="327"/>
      <c r="AD211" s="327"/>
    </row>
    <row r="212" ht="23.25" customHeight="1">
      <c r="A212" s="327"/>
      <c r="B212" s="327"/>
      <c r="C212" s="327"/>
      <c r="D212" s="327"/>
      <c r="E212" s="327"/>
      <c r="F212" s="327"/>
      <c r="G212" s="327"/>
      <c r="H212" s="327"/>
      <c r="I212" s="327"/>
      <c r="J212" s="327"/>
      <c r="K212" s="327"/>
      <c r="L212" s="327"/>
      <c r="M212" s="327"/>
      <c r="N212" s="327"/>
      <c r="O212" s="327"/>
      <c r="P212" s="327"/>
      <c r="Q212" s="327"/>
      <c r="R212" s="327"/>
      <c r="S212" s="327"/>
      <c r="T212" s="327"/>
      <c r="U212" s="327"/>
      <c r="V212" s="327"/>
      <c r="W212" s="327"/>
      <c r="X212" s="327"/>
      <c r="Y212" s="327"/>
      <c r="Z212" s="327"/>
      <c r="AA212" s="327"/>
      <c r="AB212" s="327"/>
      <c r="AC212" s="327"/>
      <c r="AD212" s="327"/>
    </row>
    <row r="213" ht="23.25" customHeight="1">
      <c r="A213" s="327"/>
      <c r="B213" s="327"/>
      <c r="C213" s="327"/>
      <c r="D213" s="327"/>
      <c r="E213" s="327"/>
      <c r="F213" s="327"/>
      <c r="G213" s="327"/>
      <c r="H213" s="327"/>
      <c r="I213" s="327"/>
      <c r="J213" s="327"/>
      <c r="K213" s="327"/>
      <c r="L213" s="327"/>
      <c r="M213" s="327"/>
      <c r="N213" s="327"/>
      <c r="O213" s="327"/>
      <c r="P213" s="327"/>
      <c r="Q213" s="327"/>
      <c r="R213" s="327"/>
      <c r="S213" s="327"/>
      <c r="T213" s="327"/>
      <c r="U213" s="327"/>
      <c r="V213" s="327"/>
      <c r="W213" s="327"/>
      <c r="X213" s="327"/>
      <c r="Y213" s="327"/>
      <c r="Z213" s="327"/>
      <c r="AA213" s="327"/>
      <c r="AB213" s="327"/>
      <c r="AC213" s="327"/>
      <c r="AD213" s="327"/>
    </row>
    <row r="214" ht="23.25" customHeight="1">
      <c r="A214" s="327"/>
      <c r="B214" s="327"/>
      <c r="C214" s="327"/>
      <c r="D214" s="327"/>
      <c r="E214" s="327"/>
      <c r="F214" s="327"/>
      <c r="G214" s="327"/>
      <c r="H214" s="327"/>
      <c r="I214" s="327"/>
      <c r="J214" s="327"/>
      <c r="K214" s="327"/>
      <c r="L214" s="327"/>
      <c r="M214" s="327"/>
      <c r="N214" s="327"/>
      <c r="O214" s="327"/>
      <c r="P214" s="327"/>
      <c r="Q214" s="327"/>
      <c r="R214" s="327"/>
      <c r="S214" s="327"/>
      <c r="T214" s="327"/>
      <c r="U214" s="327"/>
      <c r="V214" s="327"/>
      <c r="W214" s="327"/>
      <c r="X214" s="327"/>
      <c r="Y214" s="327"/>
      <c r="Z214" s="327"/>
      <c r="AA214" s="327"/>
      <c r="AB214" s="327"/>
      <c r="AC214" s="327"/>
      <c r="AD214" s="327"/>
    </row>
    <row r="215" ht="23.25" customHeight="1">
      <c r="A215" s="327"/>
      <c r="B215" s="327"/>
      <c r="C215" s="327"/>
      <c r="D215" s="327"/>
      <c r="E215" s="327"/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327"/>
      <c r="T215" s="327"/>
      <c r="U215" s="327"/>
      <c r="V215" s="327"/>
      <c r="W215" s="327"/>
      <c r="X215" s="327"/>
      <c r="Y215" s="327"/>
      <c r="Z215" s="327"/>
      <c r="AA215" s="327"/>
      <c r="AB215" s="327"/>
      <c r="AC215" s="327"/>
      <c r="AD215" s="327"/>
    </row>
    <row r="216" ht="23.25" customHeight="1">
      <c r="A216" s="327"/>
      <c r="B216" s="327"/>
      <c r="C216" s="32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  <c r="X216" s="327"/>
      <c r="Y216" s="327"/>
      <c r="Z216" s="327"/>
      <c r="AA216" s="327"/>
      <c r="AB216" s="327"/>
      <c r="AC216" s="327"/>
      <c r="AD216" s="327"/>
    </row>
    <row r="217" ht="23.25" customHeight="1">
      <c r="A217" s="327"/>
      <c r="B217" s="327"/>
      <c r="C217" s="327"/>
      <c r="D217" s="327"/>
      <c r="E217" s="327"/>
      <c r="F217" s="327"/>
      <c r="G217" s="327"/>
      <c r="H217" s="327"/>
      <c r="I217" s="327"/>
      <c r="J217" s="327"/>
      <c r="K217" s="327"/>
      <c r="L217" s="327"/>
      <c r="M217" s="327"/>
      <c r="N217" s="327"/>
      <c r="O217" s="327"/>
      <c r="P217" s="327"/>
      <c r="Q217" s="327"/>
      <c r="R217" s="327"/>
      <c r="S217" s="327"/>
      <c r="T217" s="327"/>
      <c r="U217" s="327"/>
      <c r="V217" s="327"/>
      <c r="W217" s="327"/>
      <c r="X217" s="327"/>
      <c r="Y217" s="327"/>
      <c r="Z217" s="327"/>
      <c r="AA217" s="327"/>
      <c r="AB217" s="327"/>
      <c r="AC217" s="327"/>
      <c r="AD217" s="327"/>
    </row>
    <row r="218" ht="23.25" customHeight="1">
      <c r="A218" s="327"/>
      <c r="B218" s="327"/>
      <c r="C218" s="327"/>
      <c r="D218" s="327"/>
      <c r="E218" s="327"/>
      <c r="F218" s="327"/>
      <c r="G218" s="327"/>
      <c r="H218" s="327"/>
      <c r="I218" s="327"/>
      <c r="J218" s="327"/>
      <c r="K218" s="327"/>
      <c r="L218" s="327"/>
      <c r="M218" s="327"/>
      <c r="N218" s="327"/>
      <c r="O218" s="327"/>
      <c r="P218" s="327"/>
      <c r="Q218" s="327"/>
      <c r="R218" s="327"/>
      <c r="S218" s="327"/>
      <c r="T218" s="327"/>
      <c r="U218" s="327"/>
      <c r="V218" s="327"/>
      <c r="W218" s="327"/>
      <c r="X218" s="327"/>
      <c r="Y218" s="327"/>
      <c r="Z218" s="327"/>
      <c r="AA218" s="327"/>
      <c r="AB218" s="327"/>
      <c r="AC218" s="327"/>
      <c r="AD218" s="327"/>
    </row>
    <row r="219" ht="23.25" customHeight="1">
      <c r="A219" s="327"/>
      <c r="B219" s="327"/>
      <c r="C219" s="327"/>
      <c r="D219" s="327"/>
      <c r="E219" s="327"/>
      <c r="F219" s="327"/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ht="23.25" customHeight="1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ht="23.25" customHeight="1">
      <c r="A221" s="327"/>
      <c r="B221" s="327"/>
      <c r="C221" s="327"/>
      <c r="D221" s="327"/>
      <c r="E221" s="327"/>
      <c r="F221" s="327"/>
      <c r="G221" s="327"/>
      <c r="H221" s="327"/>
      <c r="I221" s="327"/>
      <c r="J221" s="327"/>
      <c r="K221" s="327"/>
      <c r="L221" s="327"/>
      <c r="M221" s="327"/>
      <c r="N221" s="327"/>
      <c r="O221" s="327"/>
      <c r="P221" s="327"/>
      <c r="Q221" s="327"/>
      <c r="R221" s="327"/>
      <c r="S221" s="327"/>
      <c r="T221" s="327"/>
      <c r="U221" s="327"/>
      <c r="V221" s="327"/>
      <c r="W221" s="327"/>
      <c r="X221" s="327"/>
      <c r="Y221" s="327"/>
      <c r="Z221" s="327"/>
      <c r="AA221" s="327"/>
      <c r="AB221" s="327"/>
      <c r="AC221" s="327"/>
      <c r="AD221" s="327"/>
    </row>
    <row r="222" ht="23.25" customHeight="1">
      <c r="A222" s="327"/>
      <c r="B222" s="327"/>
      <c r="C222" s="327"/>
      <c r="D222" s="327"/>
      <c r="E222" s="327"/>
      <c r="F222" s="327"/>
      <c r="G222" s="327"/>
      <c r="H222" s="327"/>
      <c r="I222" s="327"/>
      <c r="J222" s="327"/>
      <c r="K222" s="327"/>
      <c r="L222" s="327"/>
      <c r="M222" s="327"/>
      <c r="N222" s="327"/>
      <c r="O222" s="327"/>
      <c r="P222" s="327"/>
      <c r="Q222" s="327"/>
      <c r="R222" s="327"/>
      <c r="S222" s="327"/>
      <c r="T222" s="327"/>
      <c r="U222" s="327"/>
      <c r="V222" s="327"/>
      <c r="W222" s="327"/>
      <c r="X222" s="327"/>
      <c r="Y222" s="327"/>
      <c r="Z222" s="327"/>
      <c r="AA222" s="327"/>
      <c r="AB222" s="327"/>
      <c r="AC222" s="327"/>
      <c r="AD222" s="327"/>
    </row>
    <row r="223" ht="23.25" customHeight="1">
      <c r="A223" s="327"/>
      <c r="B223" s="327"/>
      <c r="C223" s="327"/>
      <c r="D223" s="327"/>
      <c r="E223" s="327"/>
      <c r="F223" s="327"/>
      <c r="G223" s="327"/>
      <c r="H223" s="327"/>
      <c r="I223" s="327"/>
      <c r="J223" s="327"/>
      <c r="K223" s="327"/>
      <c r="L223" s="327"/>
      <c r="M223" s="327"/>
      <c r="N223" s="327"/>
      <c r="O223" s="327"/>
      <c r="P223" s="327"/>
      <c r="Q223" s="327"/>
      <c r="R223" s="327"/>
      <c r="S223" s="327"/>
      <c r="T223" s="327"/>
      <c r="U223" s="327"/>
      <c r="V223" s="327"/>
      <c r="W223" s="327"/>
      <c r="X223" s="327"/>
      <c r="Y223" s="327"/>
      <c r="Z223" s="327"/>
      <c r="AA223" s="327"/>
      <c r="AB223" s="327"/>
      <c r="AC223" s="327"/>
      <c r="AD223" s="327"/>
    </row>
    <row r="224" ht="23.25" customHeight="1">
      <c r="A224" s="327"/>
      <c r="B224" s="327"/>
      <c r="C224" s="327"/>
      <c r="D224" s="327"/>
      <c r="E224" s="327"/>
      <c r="F224" s="327"/>
      <c r="G224" s="327"/>
      <c r="H224" s="327"/>
      <c r="I224" s="327"/>
      <c r="J224" s="327"/>
      <c r="K224" s="327"/>
      <c r="L224" s="327"/>
      <c r="M224" s="327"/>
      <c r="N224" s="327"/>
      <c r="O224" s="327"/>
      <c r="P224" s="327"/>
      <c r="Q224" s="327"/>
      <c r="R224" s="327"/>
      <c r="S224" s="327"/>
      <c r="T224" s="327"/>
      <c r="U224" s="327"/>
      <c r="V224" s="327"/>
      <c r="W224" s="327"/>
      <c r="X224" s="327"/>
      <c r="Y224" s="327"/>
      <c r="Z224" s="327"/>
      <c r="AA224" s="327"/>
      <c r="AB224" s="327"/>
      <c r="AC224" s="327"/>
      <c r="AD224" s="327"/>
    </row>
    <row r="225" ht="23.25" customHeight="1">
      <c r="A225" s="327"/>
      <c r="B225" s="327"/>
      <c r="C225" s="327"/>
      <c r="D225" s="327"/>
      <c r="E225" s="327"/>
      <c r="F225" s="327"/>
      <c r="G225" s="327"/>
      <c r="H225" s="327"/>
      <c r="I225" s="327"/>
      <c r="J225" s="327"/>
      <c r="K225" s="327"/>
      <c r="L225" s="327"/>
      <c r="M225" s="327"/>
      <c r="N225" s="327"/>
      <c r="O225" s="327"/>
      <c r="P225" s="327"/>
      <c r="Q225" s="327"/>
      <c r="R225" s="327"/>
      <c r="S225" s="327"/>
      <c r="T225" s="327"/>
      <c r="U225" s="327"/>
      <c r="V225" s="327"/>
      <c r="W225" s="327"/>
      <c r="X225" s="327"/>
      <c r="Y225" s="327"/>
      <c r="Z225" s="327"/>
      <c r="AA225" s="327"/>
      <c r="AB225" s="327"/>
      <c r="AC225" s="327"/>
      <c r="AD225" s="327"/>
    </row>
    <row r="226" ht="23.25" customHeight="1">
      <c r="A226" s="327"/>
      <c r="B226" s="327"/>
      <c r="C226" s="327"/>
      <c r="D226" s="327"/>
      <c r="E226" s="327"/>
      <c r="F226" s="327"/>
      <c r="G226" s="327"/>
      <c r="H226" s="327"/>
      <c r="I226" s="327"/>
      <c r="J226" s="327"/>
      <c r="K226" s="327"/>
      <c r="L226" s="327"/>
      <c r="M226" s="327"/>
      <c r="N226" s="327"/>
      <c r="O226" s="327"/>
      <c r="P226" s="327"/>
      <c r="Q226" s="327"/>
      <c r="R226" s="327"/>
      <c r="S226" s="327"/>
      <c r="T226" s="327"/>
      <c r="U226" s="327"/>
      <c r="V226" s="327"/>
      <c r="W226" s="327"/>
      <c r="X226" s="327"/>
      <c r="Y226" s="327"/>
      <c r="Z226" s="327"/>
      <c r="AA226" s="327"/>
      <c r="AB226" s="327"/>
      <c r="AC226" s="327"/>
      <c r="AD226" s="327"/>
    </row>
    <row r="227" ht="23.25" customHeight="1">
      <c r="A227" s="327"/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7"/>
      <c r="P227" s="327"/>
      <c r="Q227" s="327"/>
      <c r="R227" s="327"/>
      <c r="S227" s="327"/>
      <c r="T227" s="327"/>
      <c r="U227" s="327"/>
      <c r="V227" s="327"/>
      <c r="W227" s="327"/>
      <c r="X227" s="327"/>
      <c r="Y227" s="327"/>
      <c r="Z227" s="327"/>
      <c r="AA227" s="327"/>
      <c r="AB227" s="327"/>
      <c r="AC227" s="327"/>
      <c r="AD227" s="327"/>
    </row>
    <row r="228" ht="23.25" customHeight="1">
      <c r="A228" s="327"/>
      <c r="B228" s="327"/>
      <c r="C228" s="327"/>
      <c r="D228" s="327"/>
      <c r="E228" s="327"/>
      <c r="F228" s="327"/>
      <c r="G228" s="327"/>
      <c r="H228" s="327"/>
      <c r="I228" s="327"/>
      <c r="J228" s="327"/>
      <c r="K228" s="327"/>
      <c r="L228" s="327"/>
      <c r="M228" s="327"/>
      <c r="N228" s="327"/>
      <c r="O228" s="327"/>
      <c r="P228" s="327"/>
      <c r="Q228" s="327"/>
      <c r="R228" s="327"/>
      <c r="S228" s="327"/>
      <c r="T228" s="327"/>
      <c r="U228" s="327"/>
      <c r="V228" s="327"/>
      <c r="W228" s="327"/>
      <c r="X228" s="327"/>
      <c r="Y228" s="327"/>
      <c r="Z228" s="327"/>
      <c r="AA228" s="327"/>
      <c r="AB228" s="327"/>
      <c r="AC228" s="327"/>
      <c r="AD228" s="327"/>
    </row>
    <row r="229" ht="23.25" customHeight="1">
      <c r="A229" s="327"/>
      <c r="B229" s="327"/>
      <c r="C229" s="327"/>
      <c r="D229" s="327"/>
      <c r="E229" s="327"/>
      <c r="F229" s="327"/>
      <c r="G229" s="327"/>
      <c r="H229" s="327"/>
      <c r="I229" s="327"/>
      <c r="J229" s="327"/>
      <c r="K229" s="327"/>
      <c r="L229" s="327"/>
      <c r="M229" s="327"/>
      <c r="N229" s="327"/>
      <c r="O229" s="327"/>
      <c r="P229" s="327"/>
      <c r="Q229" s="327"/>
      <c r="R229" s="327"/>
      <c r="S229" s="327"/>
      <c r="T229" s="327"/>
      <c r="U229" s="327"/>
      <c r="V229" s="327"/>
      <c r="W229" s="327"/>
      <c r="X229" s="327"/>
      <c r="Y229" s="327"/>
      <c r="Z229" s="327"/>
      <c r="AA229" s="327"/>
      <c r="AB229" s="327"/>
      <c r="AC229" s="327"/>
      <c r="AD229" s="327"/>
    </row>
    <row r="230" ht="23.25" customHeight="1">
      <c r="A230" s="327"/>
      <c r="B230" s="327"/>
      <c r="C230" s="327"/>
      <c r="D230" s="327"/>
      <c r="E230" s="327"/>
      <c r="F230" s="327"/>
      <c r="G230" s="327"/>
      <c r="H230" s="327"/>
      <c r="I230" s="327"/>
      <c r="J230" s="327"/>
      <c r="K230" s="327"/>
      <c r="L230" s="327"/>
      <c r="M230" s="327"/>
      <c r="N230" s="327"/>
      <c r="O230" s="327"/>
      <c r="P230" s="327"/>
      <c r="Q230" s="327"/>
      <c r="R230" s="327"/>
      <c r="S230" s="327"/>
      <c r="T230" s="327"/>
      <c r="U230" s="327"/>
      <c r="V230" s="327"/>
      <c r="W230" s="327"/>
      <c r="X230" s="327"/>
      <c r="Y230" s="327"/>
      <c r="Z230" s="327"/>
      <c r="AA230" s="327"/>
      <c r="AB230" s="327"/>
      <c r="AC230" s="327"/>
      <c r="AD230" s="327"/>
    </row>
    <row r="231" ht="23.25" customHeight="1">
      <c r="A231" s="327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327"/>
      <c r="M231" s="327"/>
      <c r="N231" s="327"/>
      <c r="O231" s="327"/>
      <c r="P231" s="327"/>
      <c r="Q231" s="327"/>
      <c r="R231" s="327"/>
      <c r="S231" s="327"/>
      <c r="T231" s="327"/>
      <c r="U231" s="327"/>
      <c r="V231" s="327"/>
      <c r="W231" s="327"/>
      <c r="X231" s="327"/>
      <c r="Y231" s="327"/>
      <c r="Z231" s="327"/>
      <c r="AA231" s="327"/>
      <c r="AB231" s="327"/>
      <c r="AC231" s="327"/>
      <c r="AD231" s="327"/>
    </row>
    <row r="232" ht="23.25" customHeight="1">
      <c r="A232" s="327"/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327"/>
      <c r="M232" s="327"/>
      <c r="N232" s="327"/>
      <c r="O232" s="327"/>
      <c r="P232" s="327"/>
      <c r="Q232" s="327"/>
      <c r="R232" s="327"/>
      <c r="S232" s="327"/>
      <c r="T232" s="327"/>
      <c r="U232" s="327"/>
      <c r="V232" s="327"/>
      <c r="W232" s="327"/>
      <c r="X232" s="327"/>
      <c r="Y232" s="327"/>
      <c r="Z232" s="327"/>
      <c r="AA232" s="327"/>
      <c r="AB232" s="327"/>
      <c r="AC232" s="327"/>
      <c r="AD232" s="327"/>
    </row>
    <row r="233" ht="23.25" customHeight="1">
      <c r="A233" s="327"/>
      <c r="B233" s="327"/>
      <c r="C233" s="327"/>
      <c r="D233" s="327"/>
      <c r="E233" s="327"/>
      <c r="F233" s="327"/>
      <c r="G233" s="327"/>
      <c r="H233" s="327"/>
      <c r="I233" s="327"/>
      <c r="J233" s="327"/>
      <c r="K233" s="327"/>
      <c r="L233" s="327"/>
      <c r="M233" s="327"/>
      <c r="N233" s="327"/>
      <c r="O233" s="327"/>
      <c r="P233" s="327"/>
      <c r="Q233" s="327"/>
      <c r="R233" s="327"/>
      <c r="S233" s="327"/>
      <c r="T233" s="327"/>
      <c r="U233" s="327"/>
      <c r="V233" s="327"/>
      <c r="W233" s="327"/>
      <c r="X233" s="327"/>
      <c r="Y233" s="327"/>
      <c r="Z233" s="327"/>
      <c r="AA233" s="327"/>
      <c r="AB233" s="327"/>
      <c r="AC233" s="327"/>
      <c r="AD233" s="327"/>
    </row>
    <row r="234" ht="23.25" customHeight="1">
      <c r="A234" s="327"/>
      <c r="B234" s="327"/>
      <c r="C234" s="327"/>
      <c r="D234" s="327"/>
      <c r="E234" s="327"/>
      <c r="F234" s="327"/>
      <c r="G234" s="327"/>
      <c r="H234" s="327"/>
      <c r="I234" s="327"/>
      <c r="J234" s="327"/>
      <c r="K234" s="327"/>
      <c r="L234" s="327"/>
      <c r="M234" s="327"/>
      <c r="N234" s="327"/>
      <c r="O234" s="327"/>
      <c r="P234" s="327"/>
      <c r="Q234" s="327"/>
      <c r="R234" s="327"/>
      <c r="S234" s="327"/>
      <c r="T234" s="327"/>
      <c r="U234" s="327"/>
      <c r="V234" s="327"/>
      <c r="W234" s="327"/>
      <c r="X234" s="327"/>
      <c r="Y234" s="327"/>
      <c r="Z234" s="327"/>
      <c r="AA234" s="327"/>
      <c r="AB234" s="327"/>
      <c r="AC234" s="327"/>
      <c r="AD234" s="327"/>
    </row>
    <row r="235" ht="23.25" customHeight="1">
      <c r="A235" s="327"/>
      <c r="B235" s="327"/>
      <c r="C235" s="327"/>
      <c r="D235" s="327"/>
      <c r="E235" s="327"/>
      <c r="F235" s="327"/>
      <c r="G235" s="327"/>
      <c r="H235" s="327"/>
      <c r="I235" s="327"/>
      <c r="J235" s="327"/>
      <c r="K235" s="327"/>
      <c r="L235" s="327"/>
      <c r="M235" s="327"/>
      <c r="N235" s="327"/>
      <c r="O235" s="327"/>
      <c r="P235" s="327"/>
      <c r="Q235" s="327"/>
      <c r="R235" s="327"/>
      <c r="S235" s="327"/>
      <c r="T235" s="327"/>
      <c r="U235" s="327"/>
      <c r="V235" s="327"/>
      <c r="W235" s="327"/>
      <c r="X235" s="327"/>
      <c r="Y235" s="327"/>
      <c r="Z235" s="327"/>
      <c r="AA235" s="327"/>
      <c r="AB235" s="327"/>
      <c r="AC235" s="327"/>
      <c r="AD235" s="327"/>
    </row>
    <row r="236" ht="23.25" customHeight="1">
      <c r="A236" s="327"/>
      <c r="B236" s="327"/>
      <c r="C236" s="327"/>
      <c r="D236" s="327"/>
      <c r="E236" s="327"/>
      <c r="F236" s="327"/>
      <c r="G236" s="327"/>
      <c r="H236" s="327"/>
      <c r="I236" s="327"/>
      <c r="J236" s="327"/>
      <c r="K236" s="327"/>
      <c r="L236" s="327"/>
      <c r="M236" s="327"/>
      <c r="N236" s="327"/>
      <c r="O236" s="327"/>
      <c r="P236" s="327"/>
      <c r="Q236" s="327"/>
      <c r="R236" s="327"/>
      <c r="S236" s="327"/>
      <c r="T236" s="327"/>
      <c r="U236" s="327"/>
      <c r="V236" s="327"/>
      <c r="W236" s="327"/>
      <c r="X236" s="327"/>
      <c r="Y236" s="327"/>
      <c r="Z236" s="327"/>
      <c r="AA236" s="327"/>
      <c r="AB236" s="327"/>
      <c r="AC236" s="327"/>
      <c r="AD236" s="327"/>
    </row>
    <row r="237" ht="23.25" customHeight="1">
      <c r="A237" s="327"/>
      <c r="B237" s="327"/>
      <c r="C237" s="327"/>
      <c r="D237" s="327"/>
      <c r="E237" s="327"/>
      <c r="F237" s="327"/>
      <c r="G237" s="327"/>
      <c r="H237" s="327"/>
      <c r="I237" s="327"/>
      <c r="J237" s="327"/>
      <c r="K237" s="327"/>
      <c r="L237" s="327"/>
      <c r="M237" s="327"/>
      <c r="N237" s="327"/>
      <c r="O237" s="327"/>
      <c r="P237" s="327"/>
      <c r="Q237" s="327"/>
      <c r="R237" s="327"/>
      <c r="S237" s="327"/>
      <c r="T237" s="327"/>
      <c r="U237" s="327"/>
      <c r="V237" s="327"/>
      <c r="W237" s="327"/>
      <c r="X237" s="327"/>
      <c r="Y237" s="327"/>
      <c r="Z237" s="327"/>
      <c r="AA237" s="327"/>
      <c r="AB237" s="327"/>
      <c r="AC237" s="327"/>
      <c r="AD237" s="327"/>
    </row>
    <row r="238" ht="23.25" customHeight="1">
      <c r="A238" s="327"/>
      <c r="B238" s="327"/>
      <c r="C238" s="327"/>
      <c r="D238" s="327"/>
      <c r="E238" s="327"/>
      <c r="F238" s="327"/>
      <c r="G238" s="327"/>
      <c r="H238" s="327"/>
      <c r="I238" s="327"/>
      <c r="J238" s="327"/>
      <c r="K238" s="327"/>
      <c r="L238" s="327"/>
      <c r="M238" s="327"/>
      <c r="N238" s="327"/>
      <c r="O238" s="327"/>
      <c r="P238" s="327"/>
      <c r="Q238" s="327"/>
      <c r="R238" s="327"/>
      <c r="S238" s="327"/>
      <c r="T238" s="327"/>
      <c r="U238" s="327"/>
      <c r="V238" s="327"/>
      <c r="W238" s="327"/>
      <c r="X238" s="327"/>
      <c r="Y238" s="327"/>
      <c r="Z238" s="327"/>
      <c r="AA238" s="327"/>
      <c r="AB238" s="327"/>
      <c r="AC238" s="327"/>
      <c r="AD238" s="327"/>
    </row>
    <row r="239" ht="23.25" customHeight="1">
      <c r="A239" s="327"/>
      <c r="B239" s="327"/>
      <c r="C239" s="327"/>
      <c r="D239" s="327"/>
      <c r="E239" s="327"/>
      <c r="F239" s="327"/>
      <c r="G239" s="327"/>
      <c r="H239" s="327"/>
      <c r="I239" s="327"/>
      <c r="J239" s="327"/>
      <c r="K239" s="327"/>
      <c r="L239" s="327"/>
      <c r="M239" s="327"/>
      <c r="N239" s="327"/>
      <c r="O239" s="327"/>
      <c r="P239" s="327"/>
      <c r="Q239" s="327"/>
      <c r="R239" s="327"/>
      <c r="S239" s="327"/>
      <c r="T239" s="327"/>
      <c r="U239" s="327"/>
      <c r="V239" s="327"/>
      <c r="W239" s="327"/>
      <c r="X239" s="327"/>
      <c r="Y239" s="327"/>
      <c r="Z239" s="327"/>
      <c r="AA239" s="327"/>
      <c r="AB239" s="327"/>
      <c r="AC239" s="327"/>
      <c r="AD239" s="327"/>
    </row>
    <row r="240" ht="23.25" customHeight="1">
      <c r="A240" s="327"/>
      <c r="B240" s="327"/>
      <c r="C240" s="327"/>
      <c r="D240" s="327"/>
      <c r="E240" s="327"/>
      <c r="F240" s="327"/>
      <c r="G240" s="327"/>
      <c r="H240" s="327"/>
      <c r="I240" s="327"/>
      <c r="J240" s="327"/>
      <c r="K240" s="327"/>
      <c r="L240" s="327"/>
      <c r="M240" s="327"/>
      <c r="N240" s="327"/>
      <c r="O240" s="327"/>
      <c r="P240" s="327"/>
      <c r="Q240" s="327"/>
      <c r="R240" s="327"/>
      <c r="S240" s="327"/>
      <c r="T240" s="327"/>
      <c r="U240" s="327"/>
      <c r="V240" s="327"/>
      <c r="W240" s="327"/>
      <c r="X240" s="327"/>
      <c r="Y240" s="327"/>
      <c r="Z240" s="327"/>
      <c r="AA240" s="327"/>
      <c r="AB240" s="327"/>
      <c r="AC240" s="327"/>
      <c r="AD240" s="327"/>
    </row>
    <row r="241" ht="23.25" customHeight="1">
      <c r="A241" s="327"/>
      <c r="B241" s="327"/>
      <c r="C241" s="327"/>
      <c r="D241" s="327"/>
      <c r="E241" s="327"/>
      <c r="F241" s="327"/>
      <c r="G241" s="327"/>
      <c r="H241" s="327"/>
      <c r="I241" s="327"/>
      <c r="J241" s="327"/>
      <c r="K241" s="327"/>
      <c r="L241" s="327"/>
      <c r="M241" s="327"/>
      <c r="N241" s="327"/>
      <c r="O241" s="327"/>
      <c r="P241" s="327"/>
      <c r="Q241" s="327"/>
      <c r="R241" s="327"/>
      <c r="S241" s="327"/>
      <c r="T241" s="327"/>
      <c r="U241" s="327"/>
      <c r="V241" s="327"/>
      <c r="W241" s="327"/>
      <c r="X241" s="327"/>
      <c r="Y241" s="327"/>
      <c r="Z241" s="327"/>
      <c r="AA241" s="327"/>
      <c r="AB241" s="327"/>
      <c r="AC241" s="327"/>
      <c r="AD241" s="327"/>
    </row>
    <row r="242" ht="23.25" customHeight="1">
      <c r="A242" s="327"/>
      <c r="B242" s="327"/>
      <c r="C242" s="327"/>
      <c r="D242" s="327"/>
      <c r="E242" s="327"/>
      <c r="F242" s="327"/>
      <c r="G242" s="327"/>
      <c r="H242" s="327"/>
      <c r="I242" s="327"/>
      <c r="J242" s="327"/>
      <c r="K242" s="327"/>
      <c r="L242" s="327"/>
      <c r="M242" s="327"/>
      <c r="N242" s="327"/>
      <c r="O242" s="327"/>
      <c r="P242" s="327"/>
      <c r="Q242" s="327"/>
      <c r="R242" s="327"/>
      <c r="S242" s="327"/>
      <c r="T242" s="327"/>
      <c r="U242" s="327"/>
      <c r="V242" s="327"/>
      <c r="W242" s="327"/>
      <c r="X242" s="327"/>
      <c r="Y242" s="327"/>
      <c r="Z242" s="327"/>
      <c r="AA242" s="327"/>
      <c r="AB242" s="327"/>
      <c r="AC242" s="327"/>
      <c r="AD242" s="327"/>
    </row>
    <row r="243" ht="23.25" customHeight="1">
      <c r="A243" s="327"/>
      <c r="B243" s="327"/>
      <c r="C243" s="327"/>
      <c r="D243" s="327"/>
      <c r="E243" s="327"/>
      <c r="F243" s="327"/>
      <c r="G243" s="327"/>
      <c r="H243" s="327"/>
      <c r="I243" s="327"/>
      <c r="J243" s="327"/>
      <c r="K243" s="327"/>
      <c r="L243" s="327"/>
      <c r="M243" s="327"/>
      <c r="N243" s="327"/>
      <c r="O243" s="327"/>
      <c r="P243" s="327"/>
      <c r="Q243" s="327"/>
      <c r="R243" s="327"/>
      <c r="S243" s="327"/>
      <c r="T243" s="327"/>
      <c r="U243" s="327"/>
      <c r="V243" s="327"/>
      <c r="W243" s="327"/>
      <c r="X243" s="327"/>
      <c r="Y243" s="327"/>
      <c r="Z243" s="327"/>
      <c r="AA243" s="327"/>
      <c r="AB243" s="327"/>
      <c r="AC243" s="327"/>
      <c r="AD243" s="327"/>
    </row>
    <row r="244" ht="23.25" customHeight="1">
      <c r="A244" s="327"/>
      <c r="B244" s="327"/>
      <c r="C244" s="327"/>
      <c r="D244" s="327"/>
      <c r="E244" s="327"/>
      <c r="F244" s="327"/>
      <c r="G244" s="327"/>
      <c r="H244" s="327"/>
      <c r="I244" s="327"/>
      <c r="J244" s="327"/>
      <c r="K244" s="327"/>
      <c r="L244" s="327"/>
      <c r="M244" s="327"/>
      <c r="N244" s="327"/>
      <c r="O244" s="327"/>
      <c r="P244" s="327"/>
      <c r="Q244" s="327"/>
      <c r="R244" s="327"/>
      <c r="S244" s="327"/>
      <c r="T244" s="327"/>
      <c r="U244" s="327"/>
      <c r="V244" s="327"/>
      <c r="W244" s="327"/>
      <c r="X244" s="327"/>
      <c r="Y244" s="327"/>
      <c r="Z244" s="327"/>
      <c r="AA244" s="327"/>
      <c r="AB244" s="327"/>
      <c r="AC244" s="327"/>
      <c r="AD244" s="327"/>
    </row>
    <row r="245" ht="23.25" customHeight="1">
      <c r="A245" s="327"/>
      <c r="B245" s="327"/>
      <c r="C245" s="327"/>
      <c r="D245" s="327"/>
      <c r="E245" s="327"/>
      <c r="F245" s="327"/>
      <c r="G245" s="327"/>
      <c r="H245" s="327"/>
      <c r="I245" s="327"/>
      <c r="J245" s="327"/>
      <c r="K245" s="327"/>
      <c r="L245" s="327"/>
      <c r="M245" s="327"/>
      <c r="N245" s="327"/>
      <c r="O245" s="327"/>
      <c r="P245" s="327"/>
      <c r="Q245" s="327"/>
      <c r="R245" s="327"/>
      <c r="S245" s="327"/>
      <c r="T245" s="327"/>
      <c r="U245" s="327"/>
      <c r="V245" s="327"/>
      <c r="W245" s="327"/>
      <c r="X245" s="327"/>
      <c r="Y245" s="327"/>
      <c r="Z245" s="327"/>
      <c r="AA245" s="327"/>
      <c r="AB245" s="327"/>
      <c r="AC245" s="327"/>
      <c r="AD245" s="327"/>
    </row>
    <row r="246" ht="23.25" customHeight="1">
      <c r="A246" s="327"/>
      <c r="B246" s="327"/>
      <c r="C246" s="327"/>
      <c r="D246" s="327"/>
      <c r="E246" s="327"/>
      <c r="F246" s="327"/>
      <c r="G246" s="327"/>
      <c r="H246" s="327"/>
      <c r="I246" s="327"/>
      <c r="J246" s="327"/>
      <c r="K246" s="327"/>
      <c r="L246" s="327"/>
      <c r="M246" s="327"/>
      <c r="N246" s="327"/>
      <c r="O246" s="327"/>
      <c r="P246" s="327"/>
      <c r="Q246" s="327"/>
      <c r="R246" s="327"/>
      <c r="S246" s="327"/>
      <c r="T246" s="327"/>
      <c r="U246" s="327"/>
      <c r="V246" s="327"/>
      <c r="W246" s="327"/>
      <c r="X246" s="327"/>
      <c r="Y246" s="327"/>
      <c r="Z246" s="327"/>
      <c r="AA246" s="327"/>
      <c r="AB246" s="327"/>
      <c r="AC246" s="327"/>
      <c r="AD246" s="32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5" t="s">
        <v>53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305" t="s">
        <v>121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0.25" customHeight="1">
      <c r="A4" s="305" t="s">
        <v>122</v>
      </c>
      <c r="B4" s="329" t="s">
        <v>143</v>
      </c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0.25" customHeight="1">
      <c r="A5" s="305"/>
      <c r="B5" s="329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21.0" customHeight="1">
      <c r="A6" s="272"/>
      <c r="B6" s="272"/>
      <c r="C6" s="272"/>
      <c r="D6" s="272"/>
      <c r="E6" s="272"/>
      <c r="F6" s="272"/>
      <c r="G6" s="272"/>
      <c r="H6" s="272"/>
      <c r="I6" s="308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61.5" customHeight="1">
      <c r="A7" s="278" t="s">
        <v>124</v>
      </c>
      <c r="B7" s="393" t="s">
        <v>125</v>
      </c>
      <c r="C7" s="279" t="s">
        <v>126</v>
      </c>
      <c r="D7" s="279" t="s">
        <v>127</v>
      </c>
      <c r="E7" s="279" t="s">
        <v>128</v>
      </c>
      <c r="F7" s="279" t="s">
        <v>129</v>
      </c>
      <c r="G7" s="280" t="s">
        <v>130</v>
      </c>
      <c r="H7" s="280" t="s">
        <v>12</v>
      </c>
      <c r="I7" s="394" t="s">
        <v>147</v>
      </c>
      <c r="J7" s="395" t="s">
        <v>145</v>
      </c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2.5" customHeight="1">
      <c r="A8" s="396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398" t="str">
        <f>+SUMMARY!#REF!</f>
        <v>#ERROR!</v>
      </c>
      <c r="I8" s="399" t="str">
        <f t="shared" ref="I8:I37" si="1">G8/B8</f>
        <v>#ERROR!</v>
      </c>
      <c r="J8" s="400"/>
      <c r="K8" s="32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2.5" customHeight="1">
      <c r="A9" s="396">
        <f>+SUMMARY!A7</f>
        <v>44470</v>
      </c>
      <c r="B9" s="397">
        <f>+SUMMARY!B7</f>
        <v>29571.8766</v>
      </c>
      <c r="C9" s="397">
        <f>+SUMMARY!C7</f>
        <v>26142.41555</v>
      </c>
      <c r="D9" s="397">
        <f>+SUMMARY!D7</f>
        <v>0</v>
      </c>
      <c r="E9" s="397">
        <f>+SUMMARY!E7</f>
        <v>61.2</v>
      </c>
      <c r="F9" s="397">
        <f>+SUMMARY!F7</f>
        <v>2380.536066</v>
      </c>
      <c r="G9" s="397">
        <f>+SUMMARY!G7</f>
        <v>987.7249887</v>
      </c>
      <c r="H9" s="398" t="str">
        <f>+SUMMARY!H7</f>
        <v/>
      </c>
      <c r="I9" s="399">
        <f t="shared" si="1"/>
        <v>0.03340082207</v>
      </c>
      <c r="J9" s="400"/>
      <c r="K9" s="32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2.5" customHeight="1">
      <c r="A10" s="396">
        <f>+SUMMARY!A8</f>
        <v>44474</v>
      </c>
      <c r="B10" s="397">
        <f>+SUMMARY!B8</f>
        <v>24436.2732</v>
      </c>
      <c r="C10" s="397">
        <f>+SUMMARY!C8</f>
        <v>21980.6252</v>
      </c>
      <c r="D10" s="397">
        <f>+SUMMARY!D8</f>
        <v>0</v>
      </c>
      <c r="E10" s="397">
        <f>+SUMMARY!E8</f>
        <v>74.4</v>
      </c>
      <c r="F10" s="397">
        <f>+SUMMARY!F8</f>
        <v>1918.036262</v>
      </c>
      <c r="G10" s="397">
        <f>+SUMMARY!G8</f>
        <v>463.211736</v>
      </c>
      <c r="H10" s="401" t="str">
        <f>+SUMMARY!H8</f>
        <v/>
      </c>
      <c r="I10" s="399">
        <f t="shared" si="1"/>
        <v>0.01895590756</v>
      </c>
      <c r="J10" s="400"/>
      <c r="K10" s="32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2.5" customHeight="1">
      <c r="A11" s="396">
        <f>+SUMMARY!A9</f>
        <v>44477</v>
      </c>
      <c r="B11" s="397">
        <f>+SUMMARY!B9</f>
        <v>27897.0617</v>
      </c>
      <c r="C11" s="397">
        <f>+SUMMARY!C9</f>
        <v>24402.16893</v>
      </c>
      <c r="D11" s="397">
        <f>+SUMMARY!D9</f>
        <v>0</v>
      </c>
      <c r="E11" s="397">
        <f>+SUMMARY!E9</f>
        <v>262.5</v>
      </c>
      <c r="F11" s="397">
        <f>+SUMMARY!F9</f>
        <v>2378.418427</v>
      </c>
      <c r="G11" s="397">
        <f>+SUMMARY!G9</f>
        <v>853.9743396</v>
      </c>
      <c r="H11" s="398" t="str">
        <f>+SUMMARY!H9</f>
        <v/>
      </c>
      <c r="I11" s="399">
        <f t="shared" si="1"/>
        <v>0.03061162315</v>
      </c>
      <c r="J11" s="400"/>
      <c r="K11" s="32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2.5" customHeight="1">
      <c r="A12" s="396">
        <f>+SUMMARY!A10</f>
        <v>44480</v>
      </c>
      <c r="B12" s="397">
        <f>+SUMMARY!B10</f>
        <v>13063.4451</v>
      </c>
      <c r="C12" s="397">
        <f>+SUMMARY!C10</f>
        <v>12083.80943</v>
      </c>
      <c r="D12" s="397">
        <f>+SUMMARY!D10</f>
        <v>0</v>
      </c>
      <c r="E12" s="397">
        <f>+SUMMARY!E10</f>
        <v>68.4</v>
      </c>
      <c r="F12" s="397">
        <f>+SUMMARY!F10</f>
        <v>946.1549161</v>
      </c>
      <c r="G12" s="397">
        <f>+SUMMARY!G10</f>
        <v>-34.91925009</v>
      </c>
      <c r="H12" s="398" t="str">
        <f>+SUMMARY!H10</f>
        <v/>
      </c>
      <c r="I12" s="399">
        <f t="shared" si="1"/>
        <v>-0.002673050625</v>
      </c>
      <c r="J12" s="400"/>
      <c r="K12" s="32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2.5" customHeight="1">
      <c r="A13" s="396">
        <f>+SUMMARY!A11</f>
        <v>44482</v>
      </c>
      <c r="B13" s="397">
        <f>+SUMMARY!B11</f>
        <v>17103.7926</v>
      </c>
      <c r="C13" s="397">
        <f>+SUMMARY!C11</f>
        <v>14815.61189</v>
      </c>
      <c r="D13" s="397">
        <f>+SUMMARY!D11</f>
        <v>0</v>
      </c>
      <c r="E13" s="397">
        <f>+SUMMARY!E11</f>
        <v>208.8</v>
      </c>
      <c r="F13" s="397">
        <f>+SUMMARY!F11</f>
        <v>1322.896902</v>
      </c>
      <c r="G13" s="397">
        <f>+SUMMARY!G11</f>
        <v>756.483805</v>
      </c>
      <c r="H13" s="398" t="str">
        <f>+SUMMARY!H11</f>
        <v/>
      </c>
      <c r="I13" s="399">
        <f t="shared" si="1"/>
        <v>0.04422900948</v>
      </c>
      <c r="J13" s="402"/>
      <c r="K13" s="403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4"/>
      <c r="Y13" s="404"/>
      <c r="Z13" s="404"/>
      <c r="AA13" s="404"/>
      <c r="AB13" s="404"/>
      <c r="AC13" s="404"/>
      <c r="AD13" s="404"/>
    </row>
    <row r="14" ht="22.5" customHeight="1">
      <c r="A14" s="396">
        <f>+SUMMARY!A12</f>
        <v>44483</v>
      </c>
      <c r="B14" s="397">
        <f>+SUMMARY!B12</f>
        <v>29139.1067</v>
      </c>
      <c r="C14" s="397">
        <f>+SUMMARY!C12</f>
        <v>27051.12558</v>
      </c>
      <c r="D14" s="397">
        <f>+SUMMARY!D12</f>
        <v>0</v>
      </c>
      <c r="E14" s="397">
        <f>+SUMMARY!E12</f>
        <v>207.6</v>
      </c>
      <c r="F14" s="397">
        <f>+SUMMARY!F12</f>
        <v>1934.668467</v>
      </c>
      <c r="G14" s="397">
        <f>+SUMMARY!G12</f>
        <v>-54.28735136</v>
      </c>
      <c r="H14" s="398" t="str">
        <f>+SUMMARY!H12</f>
        <v/>
      </c>
      <c r="I14" s="399">
        <f t="shared" si="1"/>
        <v>-0.00186304103</v>
      </c>
      <c r="J14" s="400"/>
      <c r="K14" s="32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2.5" customHeight="1">
      <c r="A15" s="396">
        <f>+SUMMARY!A13</f>
        <v>44484</v>
      </c>
      <c r="B15" s="397">
        <f>+SUMMARY!B13</f>
        <v>25127.5583</v>
      </c>
      <c r="C15" s="397">
        <f>+SUMMARY!C13</f>
        <v>22934.78424</v>
      </c>
      <c r="D15" s="397">
        <f>+SUMMARY!D13</f>
        <v>0</v>
      </c>
      <c r="E15" s="397">
        <f>+SUMMARY!E13</f>
        <v>94.2</v>
      </c>
      <c r="F15" s="397">
        <f>+SUMMARY!F13</f>
        <v>2276.860659</v>
      </c>
      <c r="G15" s="397">
        <f>+SUMMARY!G13</f>
        <v>-178.2865967</v>
      </c>
      <c r="H15" s="398" t="str">
        <f>+SUMMARY!H13</f>
        <v>#REF!</v>
      </c>
      <c r="I15" s="399">
        <f t="shared" si="1"/>
        <v>-0.007095261487</v>
      </c>
      <c r="J15" s="400"/>
      <c r="K15" s="32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2.5" customHeight="1">
      <c r="A16" s="396">
        <f>+SUMMARY!A14</f>
        <v>44485</v>
      </c>
      <c r="B16" s="397">
        <f>+SUMMARY!B14</f>
        <v>46811.4148</v>
      </c>
      <c r="C16" s="397">
        <f>+SUMMARY!C14</f>
        <v>38437.22167</v>
      </c>
      <c r="D16" s="397">
        <f>+SUMMARY!D14</f>
        <v>0</v>
      </c>
      <c r="E16" s="397">
        <f>+SUMMARY!E14</f>
        <v>244.8</v>
      </c>
      <c r="F16" s="397">
        <f>+SUMMARY!F14</f>
        <v>3218.349179</v>
      </c>
      <c r="G16" s="397">
        <f>+SUMMARY!G14</f>
        <v>4911.043949</v>
      </c>
      <c r="H16" s="398" t="str">
        <f>+SUMMARY!H14</f>
        <v/>
      </c>
      <c r="I16" s="399">
        <f t="shared" si="1"/>
        <v>0.104911248</v>
      </c>
      <c r="J16" s="400"/>
      <c r="K16" s="32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2.5" customHeight="1">
      <c r="A17" s="396">
        <f>+SUMMARY!A15</f>
        <v>44487</v>
      </c>
      <c r="B17" s="397">
        <f>+SUMMARY!B15</f>
        <v>38792.0016</v>
      </c>
      <c r="C17" s="397">
        <f>+SUMMARY!C15</f>
        <v>34357.13834</v>
      </c>
      <c r="D17" s="397">
        <f>+SUMMARY!D15</f>
        <v>0</v>
      </c>
      <c r="E17" s="397">
        <f>+SUMMARY!E15</f>
        <v>206.4</v>
      </c>
      <c r="F17" s="397">
        <f>+SUMMARY!F15</f>
        <v>3209.832538</v>
      </c>
      <c r="G17" s="397">
        <f>+SUMMARY!G15</f>
        <v>1018.630718</v>
      </c>
      <c r="H17" s="398" t="str">
        <f>+SUMMARY!H15</f>
        <v/>
      </c>
      <c r="I17" s="399">
        <f t="shared" si="1"/>
        <v>0.02625878213</v>
      </c>
      <c r="J17" s="400"/>
      <c r="K17" s="32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2.5" customHeight="1">
      <c r="A18" s="396">
        <f>+SUMMARY!A16</f>
        <v>44488</v>
      </c>
      <c r="B18" s="397">
        <f>+SUMMARY!B16</f>
        <v>31555.9676</v>
      </c>
      <c r="C18" s="397">
        <f>+SUMMARY!C16</f>
        <v>818.289475</v>
      </c>
      <c r="D18" s="397">
        <f>+SUMMARY!D16</f>
        <v>0</v>
      </c>
      <c r="E18" s="397">
        <f>+SUMMARY!E16</f>
        <v>180.6</v>
      </c>
      <c r="F18" s="397">
        <f>+SUMMARY!F16</f>
        <v>2563.616784</v>
      </c>
      <c r="G18" s="397">
        <f>+SUMMARY!G16</f>
        <v>27993.46134</v>
      </c>
      <c r="H18" s="398" t="str">
        <f>+SUMMARY!H16</f>
        <v/>
      </c>
      <c r="I18" s="399">
        <f t="shared" si="1"/>
        <v>0.887105149</v>
      </c>
      <c r="J18" s="400"/>
      <c r="K18" s="32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2.5" customHeight="1">
      <c r="A19" s="396">
        <f>+SUMMARY!A17</f>
        <v>44490</v>
      </c>
      <c r="B19" s="397">
        <f>+SUMMARY!B17</f>
        <v>46455.7484</v>
      </c>
      <c r="C19" s="397">
        <f>+SUMMARY!C17</f>
        <v>40703.4947</v>
      </c>
      <c r="D19" s="397">
        <f>+SUMMARY!D17</f>
        <v>0</v>
      </c>
      <c r="E19" s="397">
        <f>+SUMMARY!E17</f>
        <v>258.6</v>
      </c>
      <c r="F19" s="397">
        <f>+SUMMARY!F17</f>
        <v>3517.871898</v>
      </c>
      <c r="G19" s="397">
        <f>+SUMMARY!G17</f>
        <v>1975.781802</v>
      </c>
      <c r="H19" s="398" t="str">
        <f>+SUMMARY!H17</f>
        <v/>
      </c>
      <c r="I19" s="399">
        <f t="shared" si="1"/>
        <v>0.04253040518</v>
      </c>
      <c r="J19" s="400"/>
      <c r="K19" s="32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2.5" customHeight="1">
      <c r="A20" s="396">
        <f>+SUMMARY!A18</f>
        <v>44491</v>
      </c>
      <c r="B20" s="397">
        <f>+SUMMARY!B18</f>
        <v>22070.643</v>
      </c>
      <c r="C20" s="397">
        <f>+SUMMARY!C18</f>
        <v>19308.82985</v>
      </c>
      <c r="D20" s="397">
        <f>+SUMMARY!D18</f>
        <v>0</v>
      </c>
      <c r="E20" s="397">
        <f>+SUMMARY!E18</f>
        <v>168.6</v>
      </c>
      <c r="F20" s="397">
        <f>+SUMMARY!F18</f>
        <v>1873.574522</v>
      </c>
      <c r="G20" s="397">
        <f>+SUMMARY!G18</f>
        <v>719.6386305</v>
      </c>
      <c r="H20" s="398" t="str">
        <f>+SUMMARY!H18</f>
        <v/>
      </c>
      <c r="I20" s="399">
        <f t="shared" si="1"/>
        <v>0.03260614702</v>
      </c>
      <c r="J20" s="400"/>
      <c r="K20" s="32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2.5" customHeight="1">
      <c r="A21" s="396">
        <f>+SUMMARY!A19</f>
        <v>44492</v>
      </c>
      <c r="B21" s="397">
        <f>+SUMMARY!B19</f>
        <v>4056.858</v>
      </c>
      <c r="C21" s="397">
        <f>+SUMMARY!C19</f>
        <v>3541.854918</v>
      </c>
      <c r="D21" s="397">
        <f>+SUMMARY!D19</f>
        <v>0</v>
      </c>
      <c r="E21" s="397">
        <f>+SUMMARY!E19</f>
        <v>68.4</v>
      </c>
      <c r="F21" s="397">
        <f>+SUMMARY!F19</f>
        <v>234.1526054</v>
      </c>
      <c r="G21" s="397">
        <f>+SUMMARY!G19</f>
        <v>212.4504771</v>
      </c>
      <c r="H21" s="398" t="str">
        <f>+SUMMARY!H19</f>
        <v/>
      </c>
      <c r="I21" s="399">
        <f t="shared" si="1"/>
        <v>0.05236823105</v>
      </c>
      <c r="J21" s="400"/>
      <c r="K21" s="32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2.5" customHeight="1">
      <c r="A22" s="396">
        <f>+SUMMARY!A20</f>
        <v>44494</v>
      </c>
      <c r="B22" s="397">
        <f>+SUMMARY!B20</f>
        <v>34921.967</v>
      </c>
      <c r="C22" s="397">
        <f>+SUMMARY!C20</f>
        <v>30852.42275</v>
      </c>
      <c r="D22" s="397">
        <f>+SUMMARY!D20</f>
        <v>0</v>
      </c>
      <c r="E22" s="397">
        <f>+SUMMARY!E20</f>
        <v>185.4</v>
      </c>
      <c r="F22" s="397">
        <f>+SUMMARY!F20</f>
        <v>2306.091097</v>
      </c>
      <c r="G22" s="397">
        <f>+SUMMARY!G20</f>
        <v>1578.053158</v>
      </c>
      <c r="H22" s="398" t="str">
        <f>+SUMMARY!H20</f>
        <v/>
      </c>
      <c r="I22" s="399">
        <f t="shared" si="1"/>
        <v>0.04518798032</v>
      </c>
      <c r="J22" s="400"/>
      <c r="K22" s="32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2.5" customHeight="1">
      <c r="A23" s="396">
        <f>+SUMMARY!A21</f>
        <v>44495</v>
      </c>
      <c r="B23" s="397">
        <f>+SUMMARY!B21</f>
        <v>17735.62872</v>
      </c>
      <c r="C23" s="397">
        <f>+SUMMARY!C21</f>
        <v>15473.20758</v>
      </c>
      <c r="D23" s="397">
        <f>+SUMMARY!D21</f>
        <v>0</v>
      </c>
      <c r="E23" s="397">
        <f>+SUMMARY!E21</f>
        <v>174.6</v>
      </c>
      <c r="F23" s="397">
        <f>+SUMMARY!F21</f>
        <v>1307.115837</v>
      </c>
      <c r="G23" s="397">
        <f>+SUMMARY!G21</f>
        <v>780.7053053</v>
      </c>
      <c r="H23" s="398" t="str">
        <f>+SUMMARY!H21</f>
        <v/>
      </c>
      <c r="I23" s="399">
        <f t="shared" si="1"/>
        <v>0.04401903748</v>
      </c>
      <c r="J23" s="400"/>
      <c r="K23" s="32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2.5" customHeight="1">
      <c r="A24" s="396">
        <f>+SUMMARY!A22</f>
        <v>44497</v>
      </c>
      <c r="B24" s="397">
        <f>+SUMMARY!B22</f>
        <v>32177.423</v>
      </c>
      <c r="C24" s="397">
        <f>+SUMMARY!C22</f>
        <v>28739.91616</v>
      </c>
      <c r="D24" s="397">
        <f>+SUMMARY!D22</f>
        <v>0</v>
      </c>
      <c r="E24" s="397">
        <f>+SUMMARY!E22</f>
        <v>107.4</v>
      </c>
      <c r="F24" s="397">
        <f>+SUMMARY!F22</f>
        <v>2287.966905</v>
      </c>
      <c r="G24" s="397">
        <f>+SUMMARY!G22</f>
        <v>1042.139937</v>
      </c>
      <c r="H24" s="398" t="str">
        <f>+SUMMARY!H22</f>
        <v/>
      </c>
      <c r="I24" s="399">
        <f t="shared" si="1"/>
        <v>0.03238730263</v>
      </c>
      <c r="J24" s="400"/>
      <c r="K24" s="32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2"/>
    </row>
    <row r="25" ht="22.5" customHeight="1">
      <c r="A25" s="396">
        <f>+SUMMARY!A23</f>
        <v>44498</v>
      </c>
      <c r="B25" s="397">
        <f>+SUMMARY!B23</f>
        <v>29056.934</v>
      </c>
      <c r="C25" s="397">
        <f>+SUMMARY!C23</f>
        <v>26882.84601</v>
      </c>
      <c r="D25" s="397">
        <f>+SUMMARY!D23</f>
        <v>0</v>
      </c>
      <c r="E25" s="397">
        <f>+SUMMARY!E23</f>
        <v>112.2</v>
      </c>
      <c r="F25" s="397">
        <f>+SUMMARY!F23</f>
        <v>1617.663151</v>
      </c>
      <c r="G25" s="397">
        <f>+SUMMARY!G23</f>
        <v>444.2248409</v>
      </c>
      <c r="H25" s="398" t="str">
        <f>+SUMMARY!H23</f>
        <v/>
      </c>
      <c r="I25" s="399">
        <f t="shared" si="1"/>
        <v>0.01528808376</v>
      </c>
      <c r="J25" s="402"/>
      <c r="K25" s="403"/>
      <c r="L25" s="404"/>
      <c r="M25" s="404"/>
      <c r="N25" s="404"/>
      <c r="O25" s="404"/>
      <c r="P25" s="404"/>
      <c r="Q25" s="404"/>
      <c r="R25" s="404"/>
      <c r="S25" s="404"/>
      <c r="T25" s="404"/>
      <c r="U25" s="404"/>
      <c r="V25" s="404"/>
      <c r="W25" s="404"/>
      <c r="X25" s="404"/>
      <c r="Y25" s="404"/>
      <c r="Z25" s="404"/>
      <c r="AA25" s="404"/>
      <c r="AB25" s="404"/>
      <c r="AC25" s="404"/>
      <c r="AD25" s="404"/>
    </row>
    <row r="26" ht="22.5" customHeight="1">
      <c r="A26" s="396" t="str">
        <f>+SUMMARY!A24</f>
        <v/>
      </c>
      <c r="B26" s="397" t="str">
        <f>+SUMMARY!B24</f>
        <v/>
      </c>
      <c r="C26" s="397" t="str">
        <f>+SUMMARY!C24</f>
        <v/>
      </c>
      <c r="D26" s="397" t="str">
        <f>+SUMMARY!D24</f>
        <v/>
      </c>
      <c r="E26" s="397" t="str">
        <f>+SUMMARY!E24</f>
        <v/>
      </c>
      <c r="F26" s="397" t="str">
        <f>+SUMMARY!F24</f>
        <v/>
      </c>
      <c r="G26" s="397" t="str">
        <f>+SUMMARY!G24</f>
        <v/>
      </c>
      <c r="H26" s="398" t="str">
        <f>+SUMMARY!H24</f>
        <v/>
      </c>
      <c r="I26" s="399" t="str">
        <f t="shared" si="1"/>
        <v>#DIV/0!</v>
      </c>
      <c r="J26" s="400"/>
      <c r="K26" s="32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2.5" customHeight="1">
      <c r="A27" s="396" t="str">
        <f>+SUMMARY!A25</f>
        <v/>
      </c>
      <c r="B27" s="397" t="str">
        <f>+SUMMARY!B25</f>
        <v/>
      </c>
      <c r="C27" s="397" t="str">
        <f>+SUMMARY!C25</f>
        <v/>
      </c>
      <c r="D27" s="397" t="str">
        <f>+SUMMARY!D25</f>
        <v/>
      </c>
      <c r="E27" s="397" t="str">
        <f>+SUMMARY!E25</f>
        <v/>
      </c>
      <c r="F27" s="397" t="str">
        <f>+SUMMARY!F25</f>
        <v/>
      </c>
      <c r="G27" s="397" t="str">
        <f>+SUMMARY!G25</f>
        <v/>
      </c>
      <c r="H27" s="398" t="str">
        <f>+SUMMARY!H25</f>
        <v/>
      </c>
      <c r="I27" s="399" t="str">
        <f t="shared" si="1"/>
        <v>#DIV/0!</v>
      </c>
      <c r="J27" s="400"/>
      <c r="K27" s="32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2.5" customHeight="1">
      <c r="A28" s="396" t="str">
        <f>+SUMMARY!A26</f>
        <v/>
      </c>
      <c r="B28" s="397" t="str">
        <f>+SUMMARY!B26</f>
        <v/>
      </c>
      <c r="C28" s="397" t="str">
        <f>+SUMMARY!C26</f>
        <v/>
      </c>
      <c r="D28" s="397" t="str">
        <f>+SUMMARY!D26</f>
        <v/>
      </c>
      <c r="E28" s="397" t="str">
        <f>+SUMMARY!E26</f>
        <v/>
      </c>
      <c r="F28" s="397" t="str">
        <f>+SUMMARY!F26</f>
        <v/>
      </c>
      <c r="G28" s="397" t="str">
        <f>+SUMMARY!G26</f>
        <v/>
      </c>
      <c r="H28" s="398" t="str">
        <f>+SUMMARY!H26</f>
        <v/>
      </c>
      <c r="I28" s="399" t="str">
        <f t="shared" si="1"/>
        <v>#DIV/0!</v>
      </c>
      <c r="J28" s="400"/>
      <c r="K28" s="32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2.5" customHeight="1">
      <c r="A29" s="396" t="str">
        <f>+SUMMARY!A27</f>
        <v/>
      </c>
      <c r="B29" s="397" t="str">
        <f>+SUMMARY!B27</f>
        <v/>
      </c>
      <c r="C29" s="397" t="str">
        <f>+SUMMARY!C27</f>
        <v/>
      </c>
      <c r="D29" s="397" t="str">
        <f>+SUMMARY!D27</f>
        <v/>
      </c>
      <c r="E29" s="397" t="str">
        <f>+SUMMARY!E27</f>
        <v/>
      </c>
      <c r="F29" s="397" t="str">
        <f>+SUMMARY!F27</f>
        <v/>
      </c>
      <c r="G29" s="397" t="str">
        <f>+SUMMARY!G27</f>
        <v/>
      </c>
      <c r="H29" s="398" t="str">
        <f>+SUMMARY!H27</f>
        <v/>
      </c>
      <c r="I29" s="399" t="str">
        <f t="shared" si="1"/>
        <v>#DIV/0!</v>
      </c>
      <c r="J29" s="400"/>
      <c r="K29" s="32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2.5" customHeight="1">
      <c r="A30" s="396" t="str">
        <f>+SUMMARY!A28</f>
        <v/>
      </c>
      <c r="B30" s="397" t="str">
        <f>+SUMMARY!B28</f>
        <v/>
      </c>
      <c r="C30" s="397" t="str">
        <f>+SUMMARY!C28</f>
        <v/>
      </c>
      <c r="D30" s="397" t="str">
        <f>+SUMMARY!D28</f>
        <v/>
      </c>
      <c r="E30" s="397" t="str">
        <f>+SUMMARY!E28</f>
        <v/>
      </c>
      <c r="F30" s="397" t="str">
        <f>+SUMMARY!F28</f>
        <v/>
      </c>
      <c r="G30" s="397" t="str">
        <f>+SUMMARY!G28</f>
        <v/>
      </c>
      <c r="H30" s="398" t="str">
        <f>+SUMMARY!H28</f>
        <v/>
      </c>
      <c r="I30" s="399" t="str">
        <f t="shared" si="1"/>
        <v>#DIV/0!</v>
      </c>
      <c r="J30" s="400"/>
      <c r="K30" s="32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2.5" customHeight="1">
      <c r="A31" s="396" t="str">
        <f>+SUMMARY!A29</f>
        <v/>
      </c>
      <c r="B31" s="397" t="str">
        <f>+SUMMARY!B29</f>
        <v/>
      </c>
      <c r="C31" s="397" t="str">
        <f>+SUMMARY!C29</f>
        <v/>
      </c>
      <c r="D31" s="397" t="str">
        <f>+SUMMARY!D29</f>
        <v/>
      </c>
      <c r="E31" s="397" t="str">
        <f>+SUMMARY!E29</f>
        <v/>
      </c>
      <c r="F31" s="397" t="str">
        <f>+SUMMARY!F29</f>
        <v/>
      </c>
      <c r="G31" s="397" t="str">
        <f>+SUMMARY!G29</f>
        <v/>
      </c>
      <c r="H31" s="398" t="str">
        <f>+SUMMARY!H29</f>
        <v/>
      </c>
      <c r="I31" s="399" t="str">
        <f t="shared" si="1"/>
        <v>#DIV/0!</v>
      </c>
      <c r="J31" s="400"/>
      <c r="K31" s="32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2.5" customHeight="1">
      <c r="A32" s="396" t="str">
        <f>+SUMMARY!A30</f>
        <v/>
      </c>
      <c r="B32" s="397" t="str">
        <f>+SUMMARY!B30</f>
        <v/>
      </c>
      <c r="C32" s="397" t="str">
        <f>+SUMMARY!C30</f>
        <v/>
      </c>
      <c r="D32" s="397" t="str">
        <f>+SUMMARY!D30</f>
        <v/>
      </c>
      <c r="E32" s="397" t="str">
        <f>+SUMMARY!E30</f>
        <v/>
      </c>
      <c r="F32" s="397" t="str">
        <f>+SUMMARY!F30</f>
        <v/>
      </c>
      <c r="G32" s="397" t="str">
        <f>+SUMMARY!G30</f>
        <v/>
      </c>
      <c r="H32" s="398" t="str">
        <f>+SUMMARY!H30</f>
        <v/>
      </c>
      <c r="I32" s="399" t="str">
        <f t="shared" si="1"/>
        <v>#DIV/0!</v>
      </c>
      <c r="J32" s="400"/>
      <c r="K32" s="32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2.5" customHeight="1">
      <c r="A33" s="396" t="str">
        <f>+SUMMARY!A31</f>
        <v/>
      </c>
      <c r="B33" s="397" t="str">
        <f>+SUMMARY!B31</f>
        <v/>
      </c>
      <c r="C33" s="397" t="str">
        <f>+SUMMARY!C31</f>
        <v/>
      </c>
      <c r="D33" s="397" t="str">
        <f>+SUMMARY!D31</f>
        <v/>
      </c>
      <c r="E33" s="397" t="str">
        <f>+SUMMARY!E31</f>
        <v/>
      </c>
      <c r="F33" s="397" t="str">
        <f>+SUMMARY!F31</f>
        <v/>
      </c>
      <c r="G33" s="397" t="str">
        <f>+SUMMARY!G31</f>
        <v/>
      </c>
      <c r="H33" s="398" t="str">
        <f>+SUMMARY!H31</f>
        <v/>
      </c>
      <c r="I33" s="399" t="str">
        <f t="shared" si="1"/>
        <v>#DIV/0!</v>
      </c>
      <c r="J33" s="400"/>
      <c r="K33" s="32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2.5" customHeight="1">
      <c r="A34" s="396" t="str">
        <f>+SUMMARY!A32</f>
        <v/>
      </c>
      <c r="B34" s="397" t="str">
        <f>+SUMMARY!B32</f>
        <v/>
      </c>
      <c r="C34" s="397" t="str">
        <f>+SUMMARY!C32</f>
        <v/>
      </c>
      <c r="D34" s="397" t="str">
        <f>+SUMMARY!D32</f>
        <v/>
      </c>
      <c r="E34" s="397" t="str">
        <f>+SUMMARY!E32</f>
        <v/>
      </c>
      <c r="F34" s="397" t="str">
        <f>+SUMMARY!F32</f>
        <v/>
      </c>
      <c r="G34" s="397" t="str">
        <f>+SUMMARY!G32</f>
        <v/>
      </c>
      <c r="H34" s="398" t="str">
        <f>+SUMMARY!H32</f>
        <v/>
      </c>
      <c r="I34" s="399" t="str">
        <f t="shared" si="1"/>
        <v>#DIV/0!</v>
      </c>
      <c r="J34" s="400"/>
      <c r="K34" s="32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2.5" customHeight="1">
      <c r="A35" s="396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398" t="str">
        <f>+SUMMARY!H33</f>
        <v/>
      </c>
      <c r="I35" s="399" t="str">
        <f t="shared" si="1"/>
        <v>#DIV/0!</v>
      </c>
      <c r="J35" s="400"/>
      <c r="K35" s="32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2.5" customHeight="1">
      <c r="A36" s="396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398" t="str">
        <f>+SUMMARY!H34</f>
        <v/>
      </c>
      <c r="I36" s="399" t="str">
        <f t="shared" si="1"/>
        <v>#DIV/0!</v>
      </c>
      <c r="J36" s="400"/>
      <c r="K36" s="32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2.5" customHeight="1">
      <c r="A37" s="396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398" t="str">
        <f>+SUMMARY!H35</f>
        <v/>
      </c>
      <c r="I37" s="399" t="str">
        <f t="shared" si="1"/>
        <v>#DIV/0!</v>
      </c>
      <c r="J37" s="400"/>
      <c r="K37" s="32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30.0" customHeight="1">
      <c r="A38" s="405" t="s">
        <v>133</v>
      </c>
      <c r="B38" s="406" t="str">
        <f t="shared" ref="B38:G38" si="2">SUM(B8:B37)</f>
        <v>#ERROR!</v>
      </c>
      <c r="C38" s="406" t="str">
        <f t="shared" si="2"/>
        <v>#ERROR!</v>
      </c>
      <c r="D38" s="406" t="str">
        <f t="shared" si="2"/>
        <v>#ERROR!</v>
      </c>
      <c r="E38" s="406" t="str">
        <f t="shared" si="2"/>
        <v>#ERROR!</v>
      </c>
      <c r="F38" s="406" t="str">
        <f t="shared" si="2"/>
        <v>#ERROR!</v>
      </c>
      <c r="G38" s="406" t="str">
        <f t="shared" si="2"/>
        <v>#ERROR!</v>
      </c>
      <c r="H38" s="407" t="str">
        <f>+SUMMARY!H36</f>
        <v/>
      </c>
      <c r="I38" s="408" t="str">
        <f>+G38/B38</f>
        <v>#ERROR!</v>
      </c>
      <c r="J38" s="409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75" customHeight="1">
      <c r="A39" s="410" t="s">
        <v>49</v>
      </c>
      <c r="B39" s="301"/>
      <c r="C39" s="411" t="str">
        <f>+C38/B38</f>
        <v>#ERROR!</v>
      </c>
      <c r="D39" s="411" t="str">
        <f>+D38/B38</f>
        <v>#ERROR!</v>
      </c>
      <c r="E39" s="411" t="str">
        <f>+E38/B38</f>
        <v>#ERROR!</v>
      </c>
      <c r="F39" s="411" t="str">
        <f>+F38/B38</f>
        <v>#ERROR!</v>
      </c>
      <c r="G39" s="412" t="str">
        <f>+G38/B38</f>
        <v>#ERROR!</v>
      </c>
      <c r="H39" s="413" t="str">
        <f>+SUMMARY!H37</f>
        <v/>
      </c>
      <c r="I39" s="320"/>
      <c r="J39" s="41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24.75" customHeight="1">
      <c r="A40" s="415" t="s">
        <v>134</v>
      </c>
      <c r="B40" s="416"/>
      <c r="C40" s="417"/>
      <c r="D40" s="417">
        <v>0.0053</v>
      </c>
      <c r="E40" s="417">
        <v>0.0084</v>
      </c>
      <c r="F40" s="417"/>
      <c r="G40" s="418">
        <v>0.0061</v>
      </c>
      <c r="H40" s="419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40.5" customHeight="1">
      <c r="A41" s="420"/>
      <c r="B41" s="272"/>
      <c r="C41" s="272"/>
      <c r="D41" s="272" t="s">
        <v>135</v>
      </c>
      <c r="E41" s="272"/>
      <c r="F41" s="313" t="str">
        <f>+D38+E38+F38+G38</f>
        <v>#ERROR!</v>
      </c>
      <c r="G41" s="272"/>
      <c r="H41" s="421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420"/>
      <c r="B42" s="272"/>
      <c r="C42" s="272"/>
      <c r="D42" s="272" t="s">
        <v>136</v>
      </c>
      <c r="E42" s="272"/>
      <c r="F42" s="315" t="str">
        <f>+F41/B38</f>
        <v>#ERROR!</v>
      </c>
      <c r="G42" s="272"/>
      <c r="H42" s="421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420"/>
      <c r="B43" s="272"/>
      <c r="C43" s="272"/>
      <c r="D43" s="272" t="s">
        <v>137</v>
      </c>
      <c r="E43" s="272"/>
      <c r="F43" s="315" t="str">
        <f t="shared" ref="F43:F44" si="3">+D39+E39+G39</f>
        <v>#ERROR!</v>
      </c>
      <c r="G43" s="272"/>
      <c r="H43" s="421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420"/>
      <c r="B44" s="272"/>
      <c r="C44" s="305" t="s">
        <v>138</v>
      </c>
      <c r="D44" s="305"/>
      <c r="E44" s="305"/>
      <c r="F44" s="308">
        <f t="shared" si="3"/>
        <v>0.0198</v>
      </c>
      <c r="G44" s="272"/>
      <c r="H44" s="421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420" t="s">
        <v>139</v>
      </c>
      <c r="B45" s="272"/>
      <c r="C45" s="272"/>
      <c r="D45" s="317">
        <v>9.0</v>
      </c>
      <c r="E45" s="272"/>
      <c r="F45" s="272"/>
      <c r="G45" s="272"/>
      <c r="H45" s="421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0.25" customHeight="1">
      <c r="A46" s="420"/>
      <c r="B46" s="272"/>
      <c r="C46" s="272" t="s">
        <v>140</v>
      </c>
      <c r="D46" s="318" t="str">
        <f t="shared" ref="D46:E46" si="4">+$D$45*D38</f>
        <v>#ERROR!</v>
      </c>
      <c r="E46" s="318" t="str">
        <f t="shared" si="4"/>
        <v>#ERROR!</v>
      </c>
      <c r="F46" s="318"/>
      <c r="G46" s="318" t="str">
        <f>+$D$45*G38</f>
        <v>#ERROR!</v>
      </c>
      <c r="H46" s="421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1.0" customHeight="1">
      <c r="A47" s="422"/>
      <c r="B47" s="320"/>
      <c r="C47" s="320"/>
      <c r="D47" s="320"/>
      <c r="E47" s="320"/>
      <c r="F47" s="320"/>
      <c r="G47" s="320"/>
      <c r="H47" s="423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2"/>
      <c r="B49" s="272"/>
      <c r="C49" s="272"/>
      <c r="D49" s="272"/>
      <c r="E49" s="272"/>
      <c r="F49" s="32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0.25" customHeight="1">
      <c r="A50" s="272"/>
      <c r="B50" s="272"/>
      <c r="C50" s="272"/>
      <c r="D50" s="272"/>
      <c r="E50" s="32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0.2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5" t="s">
        <v>53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305" t="s">
        <v>121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0.25" customHeight="1">
      <c r="A4" s="272"/>
      <c r="B4" s="272"/>
      <c r="C4" s="272"/>
      <c r="D4" s="272"/>
      <c r="E4" s="272"/>
      <c r="F4" s="272"/>
      <c r="G4" s="272"/>
      <c r="H4" s="282"/>
      <c r="I4" s="282"/>
      <c r="J4" s="282"/>
      <c r="K4" s="282"/>
      <c r="L4" s="282"/>
      <c r="M4" s="28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0.25" customHeight="1">
      <c r="A5" s="305" t="s">
        <v>122</v>
      </c>
      <c r="B5" s="329" t="s">
        <v>143</v>
      </c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21.0" customHeight="1">
      <c r="A6" s="272"/>
      <c r="B6" s="272"/>
      <c r="C6" s="272"/>
      <c r="D6" s="272"/>
      <c r="E6" s="272"/>
      <c r="F6" s="272"/>
      <c r="G6" s="272"/>
      <c r="H6" s="272"/>
      <c r="I6" s="308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41.25" customHeight="1">
      <c r="A7" s="278" t="s">
        <v>124</v>
      </c>
      <c r="B7" s="393" t="s">
        <v>125</v>
      </c>
      <c r="C7" s="279" t="s">
        <v>126</v>
      </c>
      <c r="D7" s="279" t="s">
        <v>127</v>
      </c>
      <c r="E7" s="279" t="s">
        <v>128</v>
      </c>
      <c r="F7" s="279" t="s">
        <v>129</v>
      </c>
      <c r="G7" s="280" t="s">
        <v>130</v>
      </c>
      <c r="H7" s="424" t="s">
        <v>12</v>
      </c>
      <c r="I7" s="394" t="s">
        <v>148</v>
      </c>
      <c r="J7" s="425" t="s">
        <v>145</v>
      </c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2.5" customHeight="1">
      <c r="A8" s="396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426" t="str">
        <f>+SUMMARY!#REF!</f>
        <v>#ERROR!</v>
      </c>
      <c r="I8" s="427" t="str">
        <f t="shared" ref="I8:I38" si="1">F8/B8</f>
        <v>#ERROR!</v>
      </c>
      <c r="J8" s="400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2.5" customHeight="1">
      <c r="A9" s="396">
        <f>+SUMMARY!A7</f>
        <v>44470</v>
      </c>
      <c r="B9" s="397">
        <f>+SUMMARY!B7</f>
        <v>29571.8766</v>
      </c>
      <c r="C9" s="397">
        <f>+SUMMARY!C7</f>
        <v>26142.41555</v>
      </c>
      <c r="D9" s="397">
        <f>+SUMMARY!D7</f>
        <v>0</v>
      </c>
      <c r="E9" s="397">
        <f>+SUMMARY!E7</f>
        <v>61.2</v>
      </c>
      <c r="F9" s="397">
        <f>+SUMMARY!F7</f>
        <v>2380.536066</v>
      </c>
      <c r="G9" s="397">
        <f>+SUMMARY!G7</f>
        <v>987.7249887</v>
      </c>
      <c r="H9" s="426" t="str">
        <f>+SUMMARY!H7</f>
        <v/>
      </c>
      <c r="I9" s="427">
        <f t="shared" si="1"/>
        <v>0.0805</v>
      </c>
      <c r="J9" s="400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2.5" customHeight="1">
      <c r="A10" s="396">
        <f>+SUMMARY!A8</f>
        <v>44474</v>
      </c>
      <c r="B10" s="397">
        <f>+SUMMARY!B8</f>
        <v>24436.2732</v>
      </c>
      <c r="C10" s="397">
        <f>+SUMMARY!C8</f>
        <v>21980.6252</v>
      </c>
      <c r="D10" s="397">
        <f>+SUMMARY!D8</f>
        <v>0</v>
      </c>
      <c r="E10" s="397">
        <f>+SUMMARY!E8</f>
        <v>74.4</v>
      </c>
      <c r="F10" s="397">
        <f>+SUMMARY!F8</f>
        <v>1918.036262</v>
      </c>
      <c r="G10" s="397">
        <f>+SUMMARY!G8</f>
        <v>463.211736</v>
      </c>
      <c r="H10" s="428" t="str">
        <f>+SUMMARY!H8</f>
        <v/>
      </c>
      <c r="I10" s="427">
        <f t="shared" si="1"/>
        <v>0.07849135776</v>
      </c>
      <c r="J10" s="400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2.5" customHeight="1">
      <c r="A11" s="396">
        <f>+SUMMARY!A9</f>
        <v>44477</v>
      </c>
      <c r="B11" s="397">
        <f>+SUMMARY!B9</f>
        <v>27897.0617</v>
      </c>
      <c r="C11" s="397">
        <f>+SUMMARY!C9</f>
        <v>24402.16893</v>
      </c>
      <c r="D11" s="397">
        <f>+SUMMARY!D9</f>
        <v>0</v>
      </c>
      <c r="E11" s="397">
        <f>+SUMMARY!E9</f>
        <v>262.5</v>
      </c>
      <c r="F11" s="397">
        <f>+SUMMARY!F9</f>
        <v>2378.418427</v>
      </c>
      <c r="G11" s="397">
        <f>+SUMMARY!G9</f>
        <v>853.9743396</v>
      </c>
      <c r="H11" s="426" t="str">
        <f>+SUMMARY!H9</f>
        <v/>
      </c>
      <c r="I11" s="427">
        <f t="shared" si="1"/>
        <v>0.08525695115</v>
      </c>
      <c r="J11" s="400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2.5" customHeight="1">
      <c r="A12" s="396">
        <f>+SUMMARY!A10</f>
        <v>44480</v>
      </c>
      <c r="B12" s="397">
        <f>+SUMMARY!B10</f>
        <v>13063.4451</v>
      </c>
      <c r="C12" s="397">
        <f>+SUMMARY!C10</f>
        <v>12083.80943</v>
      </c>
      <c r="D12" s="397">
        <f>+SUMMARY!D10</f>
        <v>0</v>
      </c>
      <c r="E12" s="397">
        <f>+SUMMARY!E10</f>
        <v>68.4</v>
      </c>
      <c r="F12" s="397">
        <f>+SUMMARY!F10</f>
        <v>946.1549161</v>
      </c>
      <c r="G12" s="397">
        <f>+SUMMARY!G10</f>
        <v>-34.91925009</v>
      </c>
      <c r="H12" s="426" t="str">
        <f>+SUMMARY!H10</f>
        <v/>
      </c>
      <c r="I12" s="427">
        <f t="shared" si="1"/>
        <v>0.07242767194</v>
      </c>
      <c r="J12" s="400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2.5" customHeight="1">
      <c r="A13" s="396">
        <f>+SUMMARY!A11</f>
        <v>44482</v>
      </c>
      <c r="B13" s="397">
        <f>+SUMMARY!B11</f>
        <v>17103.7926</v>
      </c>
      <c r="C13" s="397">
        <f>+SUMMARY!C11</f>
        <v>14815.61189</v>
      </c>
      <c r="D13" s="397">
        <f>+SUMMARY!D11</f>
        <v>0</v>
      </c>
      <c r="E13" s="397">
        <f>+SUMMARY!E11</f>
        <v>208.8</v>
      </c>
      <c r="F13" s="397">
        <f>+SUMMARY!F11</f>
        <v>1322.896902</v>
      </c>
      <c r="G13" s="397">
        <f>+SUMMARY!G11</f>
        <v>756.483805</v>
      </c>
      <c r="H13" s="426" t="str">
        <f>+SUMMARY!H11</f>
        <v/>
      </c>
      <c r="I13" s="427">
        <f t="shared" si="1"/>
        <v>0.07734523757</v>
      </c>
      <c r="J13" s="400"/>
      <c r="K13" s="429"/>
      <c r="L13" s="429"/>
      <c r="M13" s="429"/>
      <c r="N13" s="429"/>
      <c r="O13" s="429"/>
      <c r="P13" s="429"/>
      <c r="Q13" s="429"/>
      <c r="R13" s="429"/>
      <c r="S13" s="429"/>
      <c r="T13" s="429"/>
      <c r="U13" s="429"/>
      <c r="V13" s="429"/>
      <c r="W13" s="429"/>
      <c r="X13" s="429"/>
      <c r="Y13" s="429"/>
      <c r="Z13" s="429"/>
      <c r="AA13" s="429"/>
      <c r="AB13" s="429"/>
      <c r="AC13" s="429"/>
      <c r="AD13" s="429"/>
    </row>
    <row r="14" ht="24.0" customHeight="1">
      <c r="A14" s="396">
        <f>+SUMMARY!A12</f>
        <v>44483</v>
      </c>
      <c r="B14" s="397">
        <f>+SUMMARY!B12</f>
        <v>29139.1067</v>
      </c>
      <c r="C14" s="397">
        <f>+SUMMARY!C12</f>
        <v>27051.12558</v>
      </c>
      <c r="D14" s="397">
        <f>+SUMMARY!D12</f>
        <v>0</v>
      </c>
      <c r="E14" s="397">
        <f>+SUMMARY!E12</f>
        <v>207.6</v>
      </c>
      <c r="F14" s="397">
        <f>+SUMMARY!F12</f>
        <v>1934.668467</v>
      </c>
      <c r="G14" s="397">
        <f>+SUMMARY!G12</f>
        <v>-54.28735136</v>
      </c>
      <c r="H14" s="426" t="str">
        <f>+SUMMARY!H12</f>
        <v/>
      </c>
      <c r="I14" s="427">
        <f t="shared" si="1"/>
        <v>0.06639422709</v>
      </c>
      <c r="J14" s="400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4.0" customHeight="1">
      <c r="A15" s="396">
        <f>+SUMMARY!A13</f>
        <v>44484</v>
      </c>
      <c r="B15" s="397">
        <f>+SUMMARY!B13</f>
        <v>25127.5583</v>
      </c>
      <c r="C15" s="397">
        <f>+SUMMARY!C13</f>
        <v>22934.78424</v>
      </c>
      <c r="D15" s="397">
        <f>+SUMMARY!D13</f>
        <v>0</v>
      </c>
      <c r="E15" s="397">
        <f>+SUMMARY!E13</f>
        <v>94.2</v>
      </c>
      <c r="F15" s="397">
        <f>+SUMMARY!F13</f>
        <v>2276.860659</v>
      </c>
      <c r="G15" s="397">
        <f>+SUMMARY!G13</f>
        <v>-178.2865967</v>
      </c>
      <c r="H15" s="426" t="str">
        <f>+SUMMARY!H13</f>
        <v>#REF!</v>
      </c>
      <c r="I15" s="427">
        <f t="shared" si="1"/>
        <v>0.09061209336</v>
      </c>
      <c r="J15" s="400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4.0" customHeight="1">
      <c r="A16" s="396">
        <f>+SUMMARY!A14</f>
        <v>44485</v>
      </c>
      <c r="B16" s="397">
        <f>+SUMMARY!B14</f>
        <v>46811.4148</v>
      </c>
      <c r="C16" s="397">
        <f>+SUMMARY!C14</f>
        <v>38437.22167</v>
      </c>
      <c r="D16" s="397">
        <f>+SUMMARY!D14</f>
        <v>0</v>
      </c>
      <c r="E16" s="397">
        <f>+SUMMARY!E14</f>
        <v>244.8</v>
      </c>
      <c r="F16" s="397">
        <f>+SUMMARY!F14</f>
        <v>3218.349179</v>
      </c>
      <c r="G16" s="397">
        <f>+SUMMARY!G14</f>
        <v>4911.043949</v>
      </c>
      <c r="H16" s="426" t="str">
        <f>+SUMMARY!H14</f>
        <v/>
      </c>
      <c r="I16" s="427">
        <f t="shared" si="1"/>
        <v>0.06875137598</v>
      </c>
      <c r="J16" s="400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4.0" customHeight="1">
      <c r="A17" s="396">
        <f>+SUMMARY!A15</f>
        <v>44487</v>
      </c>
      <c r="B17" s="397">
        <f>+SUMMARY!B15</f>
        <v>38792.0016</v>
      </c>
      <c r="C17" s="397">
        <f>+SUMMARY!C15</f>
        <v>34357.13834</v>
      </c>
      <c r="D17" s="397">
        <f>+SUMMARY!D15</f>
        <v>0</v>
      </c>
      <c r="E17" s="397">
        <f>+SUMMARY!E15</f>
        <v>206.4</v>
      </c>
      <c r="F17" s="397">
        <f>+SUMMARY!F15</f>
        <v>3209.832538</v>
      </c>
      <c r="G17" s="397">
        <f>+SUMMARY!G15</f>
        <v>1018.630718</v>
      </c>
      <c r="H17" s="426" t="str">
        <f>+SUMMARY!H15</f>
        <v/>
      </c>
      <c r="I17" s="427">
        <f t="shared" si="1"/>
        <v>0.08274470009</v>
      </c>
      <c r="J17" s="400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4.0" customHeight="1">
      <c r="A18" s="396">
        <f>+SUMMARY!A16</f>
        <v>44488</v>
      </c>
      <c r="B18" s="397">
        <f>+SUMMARY!B16</f>
        <v>31555.9676</v>
      </c>
      <c r="C18" s="397">
        <f>+SUMMARY!C16</f>
        <v>818.289475</v>
      </c>
      <c r="D18" s="397">
        <f>+SUMMARY!D16</f>
        <v>0</v>
      </c>
      <c r="E18" s="397">
        <f>+SUMMARY!E16</f>
        <v>180.6</v>
      </c>
      <c r="F18" s="397">
        <f>+SUMMARY!F16</f>
        <v>2563.616784</v>
      </c>
      <c r="G18" s="397">
        <f>+SUMMARY!G16</f>
        <v>27993.46134</v>
      </c>
      <c r="H18" s="426" t="str">
        <f>+SUMMARY!H16</f>
        <v/>
      </c>
      <c r="I18" s="427">
        <f t="shared" si="1"/>
        <v>0.08124031615</v>
      </c>
      <c r="J18" s="400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4.0" customHeight="1">
      <c r="A19" s="396">
        <f>+SUMMARY!A17</f>
        <v>44490</v>
      </c>
      <c r="B19" s="397">
        <f>+SUMMARY!B17</f>
        <v>46455.7484</v>
      </c>
      <c r="C19" s="397">
        <f>+SUMMARY!C17</f>
        <v>40703.4947</v>
      </c>
      <c r="D19" s="397">
        <f>+SUMMARY!D17</f>
        <v>0</v>
      </c>
      <c r="E19" s="397">
        <f>+SUMMARY!E17</f>
        <v>258.6</v>
      </c>
      <c r="F19" s="397">
        <f>+SUMMARY!F17</f>
        <v>3517.871898</v>
      </c>
      <c r="G19" s="397">
        <f>+SUMMARY!G17</f>
        <v>1975.781802</v>
      </c>
      <c r="H19" s="426" t="str">
        <f>+SUMMARY!H17</f>
        <v/>
      </c>
      <c r="I19" s="427">
        <f t="shared" si="1"/>
        <v>0.0757252228</v>
      </c>
      <c r="J19" s="400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4.0" customHeight="1">
      <c r="A20" s="396">
        <f>+SUMMARY!A18</f>
        <v>44491</v>
      </c>
      <c r="B20" s="397">
        <f>+SUMMARY!B18</f>
        <v>22070.643</v>
      </c>
      <c r="C20" s="397">
        <f>+SUMMARY!C18</f>
        <v>19308.82985</v>
      </c>
      <c r="D20" s="397">
        <f>+SUMMARY!D18</f>
        <v>0</v>
      </c>
      <c r="E20" s="397">
        <f>+SUMMARY!E18</f>
        <v>168.6</v>
      </c>
      <c r="F20" s="397">
        <f>+SUMMARY!F18</f>
        <v>1873.574522</v>
      </c>
      <c r="G20" s="397">
        <f>+SUMMARY!G18</f>
        <v>719.6386305</v>
      </c>
      <c r="H20" s="426" t="str">
        <f>+SUMMARY!H18</f>
        <v/>
      </c>
      <c r="I20" s="427">
        <f t="shared" si="1"/>
        <v>0.08488989295</v>
      </c>
      <c r="J20" s="400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4.0" customHeight="1">
      <c r="A21" s="396">
        <f>+SUMMARY!A19</f>
        <v>44492</v>
      </c>
      <c r="B21" s="397">
        <f>+SUMMARY!B19</f>
        <v>4056.858</v>
      </c>
      <c r="C21" s="397">
        <f>+SUMMARY!C19</f>
        <v>3541.854918</v>
      </c>
      <c r="D21" s="397">
        <f>+SUMMARY!D19</f>
        <v>0</v>
      </c>
      <c r="E21" s="397">
        <f>+SUMMARY!E19</f>
        <v>68.4</v>
      </c>
      <c r="F21" s="397">
        <f>+SUMMARY!F19</f>
        <v>234.1526054</v>
      </c>
      <c r="G21" s="397">
        <f>+SUMMARY!G19</f>
        <v>212.4504771</v>
      </c>
      <c r="H21" s="426" t="str">
        <f>+SUMMARY!H19</f>
        <v/>
      </c>
      <c r="I21" s="427">
        <f t="shared" si="1"/>
        <v>0.05771772278</v>
      </c>
      <c r="J21" s="400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4.0" customHeight="1">
      <c r="A22" s="396">
        <f>+SUMMARY!A20</f>
        <v>44494</v>
      </c>
      <c r="B22" s="397">
        <f>+SUMMARY!B20</f>
        <v>34921.967</v>
      </c>
      <c r="C22" s="397">
        <f>+SUMMARY!C20</f>
        <v>30852.42275</v>
      </c>
      <c r="D22" s="397">
        <f>+SUMMARY!D20</f>
        <v>0</v>
      </c>
      <c r="E22" s="397">
        <f>+SUMMARY!E20</f>
        <v>185.4</v>
      </c>
      <c r="F22" s="397">
        <f>+SUMMARY!F20</f>
        <v>2306.091097</v>
      </c>
      <c r="G22" s="397">
        <f>+SUMMARY!G20</f>
        <v>1578.053158</v>
      </c>
      <c r="H22" s="426" t="str">
        <f>+SUMMARY!H20</f>
        <v/>
      </c>
      <c r="I22" s="427">
        <f t="shared" si="1"/>
        <v>0.06603554424</v>
      </c>
      <c r="J22" s="400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4.0" customHeight="1">
      <c r="A23" s="396">
        <f>+SUMMARY!A21</f>
        <v>44495</v>
      </c>
      <c r="B23" s="397">
        <f>+SUMMARY!B21</f>
        <v>17735.62872</v>
      </c>
      <c r="C23" s="397">
        <f>+SUMMARY!C21</f>
        <v>15473.20758</v>
      </c>
      <c r="D23" s="397">
        <f>+SUMMARY!D21</f>
        <v>0</v>
      </c>
      <c r="E23" s="397">
        <f>+SUMMARY!E21</f>
        <v>174.6</v>
      </c>
      <c r="F23" s="397">
        <f>+SUMMARY!F21</f>
        <v>1307.115837</v>
      </c>
      <c r="G23" s="397">
        <f>+SUMMARY!G21</f>
        <v>780.7053053</v>
      </c>
      <c r="H23" s="426" t="str">
        <f>+SUMMARY!H21</f>
        <v/>
      </c>
      <c r="I23" s="427">
        <f t="shared" si="1"/>
        <v>0.0737</v>
      </c>
      <c r="J23" s="400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4.0" customHeight="1">
      <c r="A24" s="396">
        <f>+SUMMARY!A22</f>
        <v>44497</v>
      </c>
      <c r="B24" s="397">
        <f>+SUMMARY!B22</f>
        <v>32177.423</v>
      </c>
      <c r="C24" s="397">
        <f>+SUMMARY!C22</f>
        <v>28739.91616</v>
      </c>
      <c r="D24" s="397">
        <f>+SUMMARY!D22</f>
        <v>0</v>
      </c>
      <c r="E24" s="397">
        <f>+SUMMARY!E22</f>
        <v>107.4</v>
      </c>
      <c r="F24" s="397">
        <f>+SUMMARY!F22</f>
        <v>2287.966905</v>
      </c>
      <c r="G24" s="397">
        <f>+SUMMARY!G22</f>
        <v>1042.139937</v>
      </c>
      <c r="H24" s="426" t="str">
        <f>+SUMMARY!H22</f>
        <v/>
      </c>
      <c r="I24" s="427">
        <f t="shared" si="1"/>
        <v>0.07110472783</v>
      </c>
      <c r="J24" s="400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2"/>
    </row>
    <row r="25" ht="24.0" customHeight="1">
      <c r="A25" s="396">
        <f>+SUMMARY!A23</f>
        <v>44498</v>
      </c>
      <c r="B25" s="397">
        <f>+SUMMARY!B23</f>
        <v>29056.934</v>
      </c>
      <c r="C25" s="397">
        <f>+SUMMARY!C23</f>
        <v>26882.84601</v>
      </c>
      <c r="D25" s="397">
        <f>+SUMMARY!D23</f>
        <v>0</v>
      </c>
      <c r="E25" s="397">
        <f>+SUMMARY!E23</f>
        <v>112.2</v>
      </c>
      <c r="F25" s="397">
        <f>+SUMMARY!F23</f>
        <v>1617.663151</v>
      </c>
      <c r="G25" s="397">
        <f>+SUMMARY!G23</f>
        <v>444.2248409</v>
      </c>
      <c r="H25" s="426" t="str">
        <f>+SUMMARY!H23</f>
        <v/>
      </c>
      <c r="I25" s="427">
        <f t="shared" si="1"/>
        <v>0.05567219002</v>
      </c>
      <c r="J25" s="400"/>
      <c r="K25" s="429"/>
      <c r="L25" s="429"/>
      <c r="M25" s="429"/>
      <c r="N25" s="429"/>
      <c r="O25" s="429"/>
      <c r="P25" s="429"/>
      <c r="Q25" s="429"/>
      <c r="R25" s="429"/>
      <c r="S25" s="429"/>
      <c r="T25" s="429"/>
      <c r="U25" s="429"/>
      <c r="V25" s="429"/>
      <c r="W25" s="429"/>
      <c r="X25" s="429"/>
      <c r="Y25" s="429"/>
      <c r="Z25" s="429"/>
      <c r="AA25" s="429"/>
      <c r="AB25" s="429"/>
      <c r="AC25" s="429"/>
      <c r="AD25" s="429"/>
    </row>
    <row r="26" ht="24.0" customHeight="1">
      <c r="A26" s="396" t="str">
        <f>+SUMMARY!A24</f>
        <v/>
      </c>
      <c r="B26" s="397" t="str">
        <f>+SUMMARY!B24</f>
        <v/>
      </c>
      <c r="C26" s="397" t="str">
        <f>+SUMMARY!C24</f>
        <v/>
      </c>
      <c r="D26" s="397" t="str">
        <f>+SUMMARY!D24</f>
        <v/>
      </c>
      <c r="E26" s="397" t="str">
        <f>+SUMMARY!E24</f>
        <v/>
      </c>
      <c r="F26" s="397" t="str">
        <f>+SUMMARY!F24</f>
        <v/>
      </c>
      <c r="G26" s="397" t="str">
        <f>+SUMMARY!G24</f>
        <v/>
      </c>
      <c r="H26" s="426" t="str">
        <f>+SUMMARY!H24</f>
        <v/>
      </c>
      <c r="I26" s="427" t="str">
        <f t="shared" si="1"/>
        <v>#DIV/0!</v>
      </c>
      <c r="J26" s="400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4.0" customHeight="1">
      <c r="A27" s="396" t="str">
        <f>+SUMMARY!A25</f>
        <v/>
      </c>
      <c r="B27" s="397" t="str">
        <f>+SUMMARY!B25</f>
        <v/>
      </c>
      <c r="C27" s="397" t="str">
        <f>+SUMMARY!C25</f>
        <v/>
      </c>
      <c r="D27" s="397" t="str">
        <f>+SUMMARY!D25</f>
        <v/>
      </c>
      <c r="E27" s="397" t="str">
        <f>+SUMMARY!E25</f>
        <v/>
      </c>
      <c r="F27" s="397" t="str">
        <f>+SUMMARY!F25</f>
        <v/>
      </c>
      <c r="G27" s="397" t="str">
        <f>+SUMMARY!G25</f>
        <v/>
      </c>
      <c r="H27" s="426" t="str">
        <f>+SUMMARY!H25</f>
        <v/>
      </c>
      <c r="I27" s="427" t="str">
        <f t="shared" si="1"/>
        <v>#DIV/0!</v>
      </c>
      <c r="J27" s="400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4.0" customHeight="1">
      <c r="A28" s="396" t="str">
        <f>+SUMMARY!A26</f>
        <v/>
      </c>
      <c r="B28" s="397" t="str">
        <f>+SUMMARY!B26</f>
        <v/>
      </c>
      <c r="C28" s="397" t="str">
        <f>+SUMMARY!C26</f>
        <v/>
      </c>
      <c r="D28" s="397" t="str">
        <f>+SUMMARY!D26</f>
        <v/>
      </c>
      <c r="E28" s="397" t="str">
        <f>+SUMMARY!E26</f>
        <v/>
      </c>
      <c r="F28" s="397" t="str">
        <f>+SUMMARY!F26</f>
        <v/>
      </c>
      <c r="G28" s="397" t="str">
        <f>+SUMMARY!G26</f>
        <v/>
      </c>
      <c r="H28" s="426" t="str">
        <f>+SUMMARY!H26</f>
        <v/>
      </c>
      <c r="I28" s="427" t="str">
        <f t="shared" si="1"/>
        <v>#DIV/0!</v>
      </c>
      <c r="J28" s="400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4.0" customHeight="1">
      <c r="A29" s="396" t="str">
        <f>+SUMMARY!A27</f>
        <v/>
      </c>
      <c r="B29" s="397" t="str">
        <f>+SUMMARY!B27</f>
        <v/>
      </c>
      <c r="C29" s="397" t="str">
        <f>+SUMMARY!C27</f>
        <v/>
      </c>
      <c r="D29" s="397" t="str">
        <f>+SUMMARY!D27</f>
        <v/>
      </c>
      <c r="E29" s="397" t="str">
        <f>+SUMMARY!E27</f>
        <v/>
      </c>
      <c r="F29" s="397" t="str">
        <f>+SUMMARY!F27</f>
        <v/>
      </c>
      <c r="G29" s="397" t="str">
        <f>+SUMMARY!G27</f>
        <v/>
      </c>
      <c r="H29" s="426" t="str">
        <f>+SUMMARY!H27</f>
        <v/>
      </c>
      <c r="I29" s="427" t="str">
        <f t="shared" si="1"/>
        <v>#DIV/0!</v>
      </c>
      <c r="J29" s="400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4.0" customHeight="1">
      <c r="A30" s="396" t="str">
        <f>+SUMMARY!A28</f>
        <v/>
      </c>
      <c r="B30" s="397" t="str">
        <f>+SUMMARY!B28</f>
        <v/>
      </c>
      <c r="C30" s="397" t="str">
        <f>+SUMMARY!C28</f>
        <v/>
      </c>
      <c r="D30" s="397" t="str">
        <f>+SUMMARY!D28</f>
        <v/>
      </c>
      <c r="E30" s="397" t="str">
        <f>+SUMMARY!E28</f>
        <v/>
      </c>
      <c r="F30" s="397" t="str">
        <f>+SUMMARY!F28</f>
        <v/>
      </c>
      <c r="G30" s="397" t="str">
        <f>+SUMMARY!G28</f>
        <v/>
      </c>
      <c r="H30" s="426" t="str">
        <f>+SUMMARY!H28</f>
        <v/>
      </c>
      <c r="I30" s="427" t="str">
        <f t="shared" si="1"/>
        <v>#DIV/0!</v>
      </c>
      <c r="J30" s="400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4.0" customHeight="1">
      <c r="A31" s="396" t="str">
        <f>+SUMMARY!A29</f>
        <v/>
      </c>
      <c r="B31" s="397" t="str">
        <f>+SUMMARY!B29</f>
        <v/>
      </c>
      <c r="C31" s="397" t="str">
        <f>+SUMMARY!C29</f>
        <v/>
      </c>
      <c r="D31" s="397" t="str">
        <f>+SUMMARY!D29</f>
        <v/>
      </c>
      <c r="E31" s="397" t="str">
        <f>+SUMMARY!E29</f>
        <v/>
      </c>
      <c r="F31" s="397" t="str">
        <f>+SUMMARY!F29</f>
        <v/>
      </c>
      <c r="G31" s="397" t="str">
        <f>+SUMMARY!G29</f>
        <v/>
      </c>
      <c r="H31" s="426" t="str">
        <f>+SUMMARY!H29</f>
        <v/>
      </c>
      <c r="I31" s="427" t="str">
        <f t="shared" si="1"/>
        <v>#DIV/0!</v>
      </c>
      <c r="J31" s="400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4.0" customHeight="1">
      <c r="A32" s="396" t="str">
        <f>+SUMMARY!A30</f>
        <v/>
      </c>
      <c r="B32" s="397" t="str">
        <f>+SUMMARY!B30</f>
        <v/>
      </c>
      <c r="C32" s="397" t="str">
        <f>+SUMMARY!C30</f>
        <v/>
      </c>
      <c r="D32" s="397" t="str">
        <f>+SUMMARY!D30</f>
        <v/>
      </c>
      <c r="E32" s="397" t="str">
        <f>+SUMMARY!E30</f>
        <v/>
      </c>
      <c r="F32" s="397" t="str">
        <f>+SUMMARY!F30</f>
        <v/>
      </c>
      <c r="G32" s="397" t="str">
        <f>+SUMMARY!G30</f>
        <v/>
      </c>
      <c r="H32" s="426" t="str">
        <f>+SUMMARY!H30</f>
        <v/>
      </c>
      <c r="I32" s="427" t="str">
        <f t="shared" si="1"/>
        <v>#DIV/0!</v>
      </c>
      <c r="J32" s="400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4.0" customHeight="1">
      <c r="A33" s="396" t="str">
        <f>+SUMMARY!A31</f>
        <v/>
      </c>
      <c r="B33" s="397" t="str">
        <f>+SUMMARY!B31</f>
        <v/>
      </c>
      <c r="C33" s="397" t="str">
        <f>+SUMMARY!C31</f>
        <v/>
      </c>
      <c r="D33" s="397" t="str">
        <f>+SUMMARY!D31</f>
        <v/>
      </c>
      <c r="E33" s="397" t="str">
        <f>+SUMMARY!E31</f>
        <v/>
      </c>
      <c r="F33" s="397" t="str">
        <f>+SUMMARY!F31</f>
        <v/>
      </c>
      <c r="G33" s="397" t="str">
        <f>+SUMMARY!G31</f>
        <v/>
      </c>
      <c r="H33" s="426" t="str">
        <f>+SUMMARY!H31</f>
        <v/>
      </c>
      <c r="I33" s="427" t="str">
        <f t="shared" si="1"/>
        <v>#DIV/0!</v>
      </c>
      <c r="J33" s="400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4.0" customHeight="1">
      <c r="A34" s="396" t="str">
        <f>+SUMMARY!A32</f>
        <v/>
      </c>
      <c r="B34" s="397" t="str">
        <f>+SUMMARY!B32</f>
        <v/>
      </c>
      <c r="C34" s="397" t="str">
        <f>+SUMMARY!C32</f>
        <v/>
      </c>
      <c r="D34" s="397" t="str">
        <f>+SUMMARY!D32</f>
        <v/>
      </c>
      <c r="E34" s="397" t="str">
        <f>+SUMMARY!E32</f>
        <v/>
      </c>
      <c r="F34" s="397" t="str">
        <f>+SUMMARY!F32</f>
        <v/>
      </c>
      <c r="G34" s="397" t="str">
        <f>+SUMMARY!G32</f>
        <v/>
      </c>
      <c r="H34" s="426" t="str">
        <f>+SUMMARY!H32</f>
        <v/>
      </c>
      <c r="I34" s="427" t="str">
        <f t="shared" si="1"/>
        <v>#DIV/0!</v>
      </c>
      <c r="J34" s="400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4.0" customHeight="1">
      <c r="A35" s="396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426" t="str">
        <f>+SUMMARY!H33</f>
        <v/>
      </c>
      <c r="I35" s="427" t="str">
        <f t="shared" si="1"/>
        <v>#DIV/0!</v>
      </c>
      <c r="J35" s="400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4.0" customHeight="1">
      <c r="A36" s="396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426" t="str">
        <f>+SUMMARY!H34</f>
        <v/>
      </c>
      <c r="I36" s="427" t="str">
        <f t="shared" si="1"/>
        <v>#DIV/0!</v>
      </c>
      <c r="J36" s="400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4.0" customHeight="1">
      <c r="A37" s="396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426" t="str">
        <f>+SUMMARY!H35</f>
        <v/>
      </c>
      <c r="I37" s="427" t="str">
        <f t="shared" si="1"/>
        <v>#DIV/0!</v>
      </c>
      <c r="J37" s="400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30.0" customHeight="1">
      <c r="A38" s="430" t="s">
        <v>133</v>
      </c>
      <c r="B38" s="431" t="str">
        <f t="shared" ref="B38:G38" si="2">SUM(B8:B37)</f>
        <v>#ERROR!</v>
      </c>
      <c r="C38" s="431" t="str">
        <f t="shared" si="2"/>
        <v>#ERROR!</v>
      </c>
      <c r="D38" s="431" t="str">
        <f t="shared" si="2"/>
        <v>#ERROR!</v>
      </c>
      <c r="E38" s="431" t="str">
        <f t="shared" si="2"/>
        <v>#ERROR!</v>
      </c>
      <c r="F38" s="431" t="str">
        <f t="shared" si="2"/>
        <v>#ERROR!</v>
      </c>
      <c r="G38" s="431" t="str">
        <f t="shared" si="2"/>
        <v>#ERROR!</v>
      </c>
      <c r="H38" s="432" t="str">
        <f>+SUMMARY!H36</f>
        <v/>
      </c>
      <c r="I38" s="433" t="str">
        <f t="shared" si="1"/>
        <v>#ERROR!</v>
      </c>
      <c r="J38" s="409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75" customHeight="1">
      <c r="A39" s="434" t="s">
        <v>49</v>
      </c>
      <c r="B39" s="435"/>
      <c r="C39" s="436" t="str">
        <f>+C38/B38</f>
        <v>#ERROR!</v>
      </c>
      <c r="D39" s="436" t="str">
        <f>+D38/B38</f>
        <v>#ERROR!</v>
      </c>
      <c r="E39" s="436" t="str">
        <f>+E38/B38</f>
        <v>#ERROR!</v>
      </c>
      <c r="F39" s="437" t="str">
        <f>+F38/B38</f>
        <v>#ERROR!</v>
      </c>
      <c r="G39" s="411" t="str">
        <f>+G38/B38</f>
        <v>#ERROR!</v>
      </c>
      <c r="H39" s="432" t="str">
        <f>+SUMMARY!H37</f>
        <v/>
      </c>
      <c r="I39" s="320"/>
      <c r="J39" s="41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33.75" customHeight="1">
      <c r="A40" s="415" t="s">
        <v>134</v>
      </c>
      <c r="B40" s="416"/>
      <c r="C40" s="417"/>
      <c r="D40" s="417">
        <v>0.0053</v>
      </c>
      <c r="E40" s="417">
        <v>0.0084</v>
      </c>
      <c r="F40" s="417"/>
      <c r="G40" s="438">
        <v>0.0061</v>
      </c>
      <c r="H40" s="419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40.5" customHeight="1">
      <c r="A41" s="420"/>
      <c r="B41" s="272"/>
      <c r="C41" s="272"/>
      <c r="D41" s="272" t="s">
        <v>135</v>
      </c>
      <c r="E41" s="272"/>
      <c r="F41" s="313" t="str">
        <f>+D38+E38+F38+G38</f>
        <v>#ERROR!</v>
      </c>
      <c r="G41" s="272"/>
      <c r="H41" s="421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420"/>
      <c r="B42" s="272"/>
      <c r="C42" s="272"/>
      <c r="D42" s="272" t="s">
        <v>136</v>
      </c>
      <c r="E42" s="272"/>
      <c r="F42" s="315" t="str">
        <f>+F41/B38</f>
        <v>#ERROR!</v>
      </c>
      <c r="G42" s="272"/>
      <c r="H42" s="421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420"/>
      <c r="B43" s="272"/>
      <c r="C43" s="272"/>
      <c r="D43" s="272" t="s">
        <v>137</v>
      </c>
      <c r="E43" s="272"/>
      <c r="F43" s="315" t="str">
        <f t="shared" ref="F43:F44" si="3">+D39+E39+G39</f>
        <v>#ERROR!</v>
      </c>
      <c r="G43" s="272"/>
      <c r="H43" s="421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420"/>
      <c r="B44" s="272"/>
      <c r="C44" s="305" t="s">
        <v>138</v>
      </c>
      <c r="D44" s="305"/>
      <c r="E44" s="305"/>
      <c r="F44" s="308">
        <f t="shared" si="3"/>
        <v>0.0198</v>
      </c>
      <c r="G44" s="272"/>
      <c r="H44" s="421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420" t="s">
        <v>139</v>
      </c>
      <c r="B45" s="272"/>
      <c r="C45" s="272"/>
      <c r="D45" s="317">
        <v>9.0</v>
      </c>
      <c r="E45" s="272"/>
      <c r="F45" s="272"/>
      <c r="G45" s="272"/>
      <c r="H45" s="421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0.25" customHeight="1">
      <c r="A46" s="420"/>
      <c r="B46" s="272"/>
      <c r="C46" s="272" t="s">
        <v>140</v>
      </c>
      <c r="D46" s="318" t="str">
        <f t="shared" ref="D46:E46" si="4">+$D$45*D38</f>
        <v>#ERROR!</v>
      </c>
      <c r="E46" s="318" t="str">
        <f t="shared" si="4"/>
        <v>#ERROR!</v>
      </c>
      <c r="F46" s="318"/>
      <c r="G46" s="318" t="str">
        <f>+$D$45*G38</f>
        <v>#ERROR!</v>
      </c>
      <c r="H46" s="421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1.0" customHeight="1">
      <c r="A47" s="422"/>
      <c r="B47" s="320"/>
      <c r="C47" s="320"/>
      <c r="D47" s="320"/>
      <c r="E47" s="320"/>
      <c r="F47" s="320"/>
      <c r="G47" s="320"/>
      <c r="H47" s="423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2"/>
      <c r="B49" s="272"/>
      <c r="C49" s="272"/>
      <c r="D49" s="272"/>
      <c r="E49" s="272"/>
      <c r="F49" s="32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0.25" customHeight="1">
      <c r="A50" s="272"/>
      <c r="B50" s="272"/>
      <c r="C50" s="272"/>
      <c r="D50" s="272"/>
      <c r="E50" s="32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0.2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9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9" t="s">
        <v>121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40"/>
      <c r="G4" s="440"/>
      <c r="H4" s="440"/>
      <c r="I4" s="440"/>
      <c r="J4" s="440"/>
      <c r="K4" s="440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9" t="s">
        <v>122</v>
      </c>
      <c r="B5" s="329" t="s">
        <v>143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1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42"/>
      <c r="B7" s="443"/>
      <c r="C7" s="444"/>
      <c r="D7" s="445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446"/>
      <c r="T7" s="446"/>
      <c r="U7" s="446"/>
      <c r="V7" s="446"/>
    </row>
    <row r="8" ht="33.0" customHeight="1">
      <c r="A8" s="447"/>
      <c r="B8" s="448"/>
      <c r="C8" s="444"/>
      <c r="D8" s="445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446"/>
      <c r="T8" s="446"/>
      <c r="U8" s="446"/>
      <c r="V8" s="446"/>
    </row>
    <row r="9" ht="33.0" customHeight="1">
      <c r="A9" s="442"/>
      <c r="B9" s="443"/>
      <c r="C9" s="444"/>
      <c r="D9" s="445"/>
      <c r="E9" s="449"/>
      <c r="F9" s="449"/>
      <c r="G9" s="449"/>
      <c r="H9" s="449"/>
      <c r="I9" s="449"/>
      <c r="J9" s="449"/>
      <c r="K9" s="449"/>
      <c r="L9" s="449"/>
      <c r="M9" s="449"/>
      <c r="N9" s="449"/>
      <c r="O9" s="449"/>
      <c r="P9" s="449"/>
      <c r="Q9" s="449"/>
      <c r="R9" s="449"/>
      <c r="S9" s="449"/>
      <c r="T9" s="449"/>
      <c r="U9" s="449"/>
      <c r="V9" s="449"/>
    </row>
    <row r="10" ht="33.0" customHeight="1">
      <c r="A10" s="442"/>
      <c r="B10" s="443"/>
      <c r="C10" s="444"/>
      <c r="D10" s="445"/>
      <c r="E10" s="446"/>
      <c r="F10" s="446"/>
      <c r="G10" s="446"/>
      <c r="H10" s="446"/>
      <c r="I10" s="446"/>
      <c r="J10" s="446"/>
      <c r="K10" s="446"/>
      <c r="L10" s="446"/>
      <c r="M10" s="446"/>
      <c r="N10" s="446"/>
      <c r="O10" s="446"/>
      <c r="P10" s="446"/>
      <c r="Q10" s="446"/>
      <c r="R10" s="446"/>
      <c r="S10" s="446"/>
      <c r="T10" s="446"/>
      <c r="U10" s="446"/>
      <c r="V10" s="446"/>
    </row>
    <row r="11" ht="33.0" customHeight="1">
      <c r="A11" s="442"/>
      <c r="B11" s="443"/>
      <c r="C11" s="444"/>
      <c r="D11" s="445"/>
      <c r="E11" s="446"/>
      <c r="F11" s="446"/>
      <c r="G11" s="446"/>
      <c r="H11" s="446"/>
      <c r="I11" s="446"/>
      <c r="J11" s="446"/>
      <c r="K11" s="446"/>
      <c r="L11" s="446"/>
      <c r="M11" s="446"/>
      <c r="N11" s="446"/>
      <c r="O11" s="446"/>
      <c r="P11" s="446"/>
      <c r="Q11" s="446"/>
      <c r="R11" s="446"/>
      <c r="S11" s="446"/>
      <c r="T11" s="446"/>
      <c r="U11" s="446"/>
      <c r="V11" s="446"/>
    </row>
    <row r="12" ht="33.0" customHeight="1">
      <c r="A12" s="442"/>
      <c r="B12" s="443"/>
      <c r="C12" s="444"/>
      <c r="D12" s="445"/>
      <c r="E12" s="446"/>
      <c r="F12" s="446"/>
      <c r="G12" s="446"/>
      <c r="H12" s="446"/>
      <c r="I12" s="446"/>
      <c r="J12" s="446"/>
      <c r="K12" s="446"/>
      <c r="L12" s="446"/>
      <c r="M12" s="446"/>
      <c r="N12" s="446"/>
      <c r="O12" s="446"/>
      <c r="P12" s="446"/>
      <c r="Q12" s="446"/>
      <c r="R12" s="446"/>
      <c r="S12" s="446"/>
      <c r="T12" s="446"/>
      <c r="U12" s="446"/>
      <c r="V12" s="446"/>
    </row>
    <row r="13" ht="33.0" customHeight="1">
      <c r="A13" s="442"/>
      <c r="B13" s="443"/>
      <c r="C13" s="444"/>
      <c r="D13" s="445"/>
      <c r="E13" s="446"/>
      <c r="F13" s="446"/>
      <c r="G13" s="446"/>
      <c r="H13" s="446"/>
      <c r="I13" s="446"/>
      <c r="J13" s="446"/>
      <c r="K13" s="446"/>
      <c r="L13" s="446"/>
      <c r="M13" s="446"/>
      <c r="N13" s="446"/>
      <c r="O13" s="446"/>
      <c r="P13" s="446"/>
      <c r="Q13" s="446"/>
      <c r="R13" s="446"/>
      <c r="S13" s="446"/>
      <c r="T13" s="446"/>
      <c r="U13" s="446"/>
      <c r="V13" s="446"/>
    </row>
    <row r="14" ht="33.0" customHeight="1">
      <c r="A14" s="442"/>
      <c r="B14" s="443"/>
      <c r="C14" s="442"/>
      <c r="D14" s="445"/>
      <c r="E14" s="446"/>
      <c r="F14" s="446"/>
      <c r="G14" s="446"/>
      <c r="H14" s="446"/>
      <c r="I14" s="446"/>
      <c r="J14" s="446"/>
      <c r="K14" s="446"/>
      <c r="L14" s="446"/>
      <c r="M14" s="446"/>
      <c r="N14" s="446"/>
      <c r="O14" s="446"/>
      <c r="P14" s="446"/>
      <c r="Q14" s="446"/>
      <c r="R14" s="446"/>
      <c r="S14" s="446"/>
      <c r="T14" s="446"/>
      <c r="U14" s="446"/>
      <c r="V14" s="446"/>
    </row>
    <row r="15" ht="33.0" customHeight="1">
      <c r="A15" s="442"/>
      <c r="B15" s="443"/>
      <c r="C15" s="444"/>
      <c r="D15" s="445"/>
      <c r="E15" s="446"/>
      <c r="F15" s="446"/>
      <c r="G15" s="446"/>
      <c r="H15" s="446"/>
      <c r="I15" s="446"/>
      <c r="J15" s="446"/>
      <c r="K15" s="446"/>
      <c r="L15" s="446"/>
      <c r="M15" s="446"/>
      <c r="N15" s="446"/>
      <c r="O15" s="446"/>
      <c r="P15" s="446"/>
      <c r="Q15" s="446"/>
      <c r="R15" s="446"/>
      <c r="S15" s="446"/>
      <c r="T15" s="446"/>
      <c r="U15" s="446"/>
      <c r="V15" s="446"/>
    </row>
    <row r="16" ht="33.0" customHeight="1">
      <c r="A16" s="442"/>
      <c r="B16" s="443"/>
      <c r="C16" s="444"/>
      <c r="D16" s="445"/>
      <c r="E16" s="449"/>
      <c r="F16" s="449"/>
      <c r="G16" s="449"/>
      <c r="H16" s="449"/>
      <c r="I16" s="449"/>
      <c r="J16" s="449"/>
      <c r="K16" s="449"/>
      <c r="L16" s="449"/>
      <c r="M16" s="449"/>
      <c r="N16" s="449"/>
      <c r="O16" s="449"/>
      <c r="P16" s="449"/>
      <c r="Q16" s="449"/>
      <c r="R16" s="449"/>
      <c r="S16" s="449"/>
      <c r="T16" s="449"/>
      <c r="U16" s="449"/>
      <c r="V16" s="449"/>
    </row>
    <row r="17" ht="33.0" customHeight="1">
      <c r="A17" s="442"/>
      <c r="B17" s="443"/>
      <c r="C17" s="444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446"/>
      <c r="Q17" s="446"/>
      <c r="R17" s="446"/>
      <c r="S17" s="446"/>
      <c r="T17" s="446"/>
      <c r="U17" s="446"/>
      <c r="V17" s="446"/>
    </row>
    <row r="18" ht="33.0" customHeight="1">
      <c r="A18" s="442"/>
      <c r="B18" s="443"/>
      <c r="C18" s="444"/>
      <c r="D18" s="445"/>
      <c r="E18" s="449"/>
      <c r="F18" s="449"/>
      <c r="G18" s="449"/>
      <c r="H18" s="449"/>
      <c r="I18" s="449"/>
      <c r="J18" s="449"/>
      <c r="K18" s="449"/>
      <c r="L18" s="449"/>
      <c r="M18" s="449"/>
      <c r="N18" s="449"/>
      <c r="O18" s="449"/>
      <c r="P18" s="449"/>
      <c r="Q18" s="449"/>
      <c r="R18" s="449"/>
      <c r="S18" s="449"/>
      <c r="T18" s="449"/>
      <c r="U18" s="449"/>
      <c r="V18" s="449"/>
    </row>
    <row r="19" ht="33.0" customHeight="1">
      <c r="A19" s="442"/>
      <c r="B19" s="443"/>
      <c r="C19" s="444"/>
      <c r="D19" s="445"/>
      <c r="E19" s="446"/>
      <c r="F19" s="446"/>
      <c r="G19" s="446"/>
      <c r="H19" s="446"/>
      <c r="I19" s="446"/>
      <c r="J19" s="446"/>
      <c r="K19" s="446"/>
      <c r="L19" s="446"/>
      <c r="M19" s="446"/>
      <c r="N19" s="446"/>
      <c r="O19" s="446"/>
      <c r="P19" s="446"/>
      <c r="Q19" s="446"/>
      <c r="R19" s="446"/>
      <c r="S19" s="446"/>
      <c r="T19" s="446"/>
      <c r="U19" s="446"/>
      <c r="V19" s="446"/>
    </row>
    <row r="20" ht="33.0" customHeight="1">
      <c r="A20" s="442"/>
      <c r="B20" s="443"/>
      <c r="C20" s="444"/>
      <c r="D20" s="445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/>
      <c r="Q20" s="446"/>
      <c r="R20" s="446"/>
      <c r="S20" s="446"/>
      <c r="T20" s="446"/>
      <c r="U20" s="446"/>
      <c r="V20" s="446"/>
    </row>
    <row r="21" ht="33.0" customHeight="1">
      <c r="A21" s="442"/>
      <c r="B21" s="443"/>
      <c r="C21" s="444"/>
      <c r="D21" s="445"/>
      <c r="E21" s="446"/>
      <c r="F21" s="446"/>
      <c r="G21" s="446"/>
      <c r="H21" s="446"/>
      <c r="I21" s="446"/>
      <c r="J21" s="446"/>
      <c r="K21" s="446"/>
      <c r="L21" s="446"/>
      <c r="M21" s="446"/>
      <c r="N21" s="446"/>
      <c r="O21" s="446"/>
      <c r="P21" s="446"/>
      <c r="Q21" s="446"/>
      <c r="R21" s="446"/>
      <c r="S21" s="446"/>
      <c r="T21" s="446"/>
      <c r="U21" s="446"/>
      <c r="V21" s="446"/>
    </row>
    <row r="22" ht="33.0" customHeight="1">
      <c r="A22" s="442"/>
      <c r="B22" s="443"/>
      <c r="C22" s="444"/>
      <c r="D22" s="445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6"/>
      <c r="R22" s="446"/>
      <c r="S22" s="446"/>
      <c r="T22" s="446"/>
      <c r="U22" s="446"/>
      <c r="V22" s="446"/>
    </row>
    <row r="23" ht="33.0" customHeight="1">
      <c r="A23" s="442"/>
      <c r="B23" s="443"/>
      <c r="C23" s="444"/>
      <c r="D23" s="445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446"/>
      <c r="Q23" s="446"/>
      <c r="R23" s="446"/>
      <c r="S23" s="446"/>
      <c r="T23" s="446"/>
      <c r="U23" s="446"/>
      <c r="V23" s="446"/>
    </row>
    <row r="24" ht="33.0" customHeight="1">
      <c r="A24" s="442"/>
      <c r="B24" s="443"/>
      <c r="C24" s="444"/>
      <c r="D24" s="450"/>
      <c r="E24" s="446"/>
      <c r="F24" s="446"/>
      <c r="G24" s="446"/>
      <c r="H24" s="446"/>
      <c r="I24" s="446"/>
      <c r="J24" s="446"/>
      <c r="K24" s="446"/>
      <c r="L24" s="446"/>
      <c r="M24" s="446"/>
      <c r="N24" s="446"/>
      <c r="O24" s="446"/>
      <c r="P24" s="446"/>
      <c r="Q24" s="446"/>
      <c r="R24" s="446"/>
      <c r="S24" s="446"/>
      <c r="T24" s="446"/>
      <c r="U24" s="446"/>
      <c r="V24" s="446"/>
    </row>
    <row r="25" ht="33.0" customHeight="1">
      <c r="A25" s="442"/>
      <c r="B25" s="443"/>
      <c r="C25" s="444"/>
      <c r="D25" s="450"/>
      <c r="E25" s="446"/>
      <c r="F25" s="446"/>
      <c r="G25" s="446"/>
      <c r="H25" s="446"/>
      <c r="I25" s="446"/>
      <c r="J25" s="446"/>
      <c r="K25" s="446"/>
      <c r="L25" s="446"/>
      <c r="M25" s="446"/>
      <c r="N25" s="446"/>
      <c r="O25" s="446"/>
      <c r="P25" s="446"/>
      <c r="Q25" s="446"/>
      <c r="R25" s="446"/>
      <c r="S25" s="446"/>
      <c r="T25" s="446"/>
      <c r="U25" s="446"/>
      <c r="V25" s="446"/>
    </row>
    <row r="26" ht="33.0" customHeight="1">
      <c r="A26" s="442"/>
      <c r="B26" s="443"/>
      <c r="C26" s="444"/>
      <c r="D26" s="450"/>
      <c r="E26" s="446"/>
      <c r="F26" s="446"/>
      <c r="G26" s="446"/>
      <c r="H26" s="446"/>
      <c r="I26" s="446"/>
      <c r="J26" s="446"/>
      <c r="K26" s="446"/>
      <c r="L26" s="446"/>
      <c r="M26" s="446"/>
      <c r="N26" s="446"/>
      <c r="O26" s="446"/>
      <c r="P26" s="446"/>
      <c r="Q26" s="446"/>
      <c r="R26" s="446"/>
      <c r="S26" s="446"/>
      <c r="T26" s="446"/>
      <c r="U26" s="446"/>
      <c r="V26" s="446"/>
    </row>
    <row r="27" ht="33.0" customHeight="1">
      <c r="A27" s="442"/>
      <c r="B27" s="443"/>
      <c r="C27" s="444"/>
      <c r="D27" s="450"/>
      <c r="E27" s="446"/>
      <c r="F27" s="446"/>
      <c r="G27" s="446"/>
      <c r="H27" s="446"/>
      <c r="I27" s="446"/>
      <c r="J27" s="446"/>
      <c r="K27" s="446"/>
      <c r="L27" s="446"/>
      <c r="M27" s="446"/>
      <c r="N27" s="446"/>
      <c r="O27" s="446"/>
      <c r="P27" s="446"/>
      <c r="Q27" s="446"/>
      <c r="R27" s="446"/>
      <c r="S27" s="446"/>
      <c r="T27" s="446"/>
      <c r="U27" s="446"/>
      <c r="V27" s="446"/>
    </row>
    <row r="28" ht="33.0" customHeight="1">
      <c r="A28" s="442"/>
      <c r="B28" s="443"/>
      <c r="C28" s="444"/>
      <c r="D28" s="450"/>
      <c r="E28" s="446"/>
      <c r="F28" s="446"/>
      <c r="G28" s="446"/>
      <c r="H28" s="446"/>
      <c r="I28" s="446"/>
      <c r="J28" s="446"/>
      <c r="K28" s="446"/>
      <c r="L28" s="446"/>
      <c r="M28" s="446"/>
      <c r="N28" s="446"/>
      <c r="O28" s="446"/>
      <c r="P28" s="446"/>
      <c r="Q28" s="446"/>
      <c r="R28" s="446"/>
      <c r="S28" s="446"/>
      <c r="T28" s="446"/>
      <c r="U28" s="446"/>
      <c r="V28" s="446"/>
    </row>
    <row r="29" ht="33.0" customHeight="1">
      <c r="A29" s="442"/>
      <c r="B29" s="443"/>
      <c r="C29" s="444"/>
      <c r="D29" s="445"/>
      <c r="E29" s="446"/>
      <c r="F29" s="446"/>
      <c r="G29" s="446"/>
      <c r="H29" s="446"/>
      <c r="I29" s="446"/>
      <c r="J29" s="446"/>
      <c r="K29" s="446"/>
      <c r="L29" s="446"/>
      <c r="M29" s="446"/>
      <c r="N29" s="446"/>
      <c r="O29" s="446"/>
      <c r="P29" s="446"/>
      <c r="Q29" s="446"/>
      <c r="R29" s="446"/>
      <c r="S29" s="446"/>
      <c r="T29" s="446"/>
      <c r="U29" s="446"/>
      <c r="V29" s="446"/>
    </row>
    <row r="30" ht="33.0" customHeight="1">
      <c r="A30" s="451"/>
      <c r="B30" s="329"/>
      <c r="C30" s="445"/>
      <c r="D30" s="445"/>
      <c r="E30" s="446"/>
      <c r="F30" s="446"/>
      <c r="G30" s="446"/>
      <c r="H30" s="446"/>
      <c r="I30" s="446"/>
      <c r="J30" s="446"/>
      <c r="K30" s="446"/>
      <c r="L30" s="446"/>
      <c r="M30" s="446"/>
      <c r="N30" s="446"/>
      <c r="O30" s="446"/>
      <c r="P30" s="446"/>
      <c r="Q30" s="446"/>
      <c r="R30" s="446"/>
      <c r="S30" s="446"/>
      <c r="T30" s="446"/>
      <c r="U30" s="446"/>
      <c r="V30" s="446"/>
    </row>
    <row r="31" ht="23.25" customHeight="1">
      <c r="A31" s="446"/>
      <c r="B31" s="446"/>
      <c r="C31" s="446"/>
      <c r="D31" s="446"/>
      <c r="E31" s="446"/>
      <c r="F31" s="446"/>
      <c r="G31" s="446"/>
      <c r="H31" s="446"/>
      <c r="I31" s="446"/>
      <c r="J31" s="446"/>
      <c r="K31" s="446"/>
      <c r="L31" s="446"/>
      <c r="M31" s="446"/>
      <c r="N31" s="446"/>
      <c r="O31" s="446"/>
      <c r="P31" s="446"/>
      <c r="Q31" s="446"/>
      <c r="R31" s="446"/>
      <c r="S31" s="446"/>
      <c r="T31" s="446"/>
      <c r="U31" s="446"/>
      <c r="V31" s="446"/>
    </row>
    <row r="32" ht="23.25" customHeight="1">
      <c r="A32" s="446"/>
      <c r="B32" s="446"/>
      <c r="C32" s="446"/>
      <c r="D32" s="446"/>
      <c r="E32" s="446"/>
      <c r="F32" s="446"/>
      <c r="G32" s="446"/>
      <c r="H32" s="446"/>
      <c r="I32" s="446"/>
      <c r="J32" s="446"/>
      <c r="K32" s="446"/>
      <c r="L32" s="446"/>
      <c r="M32" s="446"/>
      <c r="N32" s="446"/>
      <c r="O32" s="446"/>
      <c r="P32" s="446"/>
      <c r="Q32" s="446"/>
      <c r="R32" s="446"/>
      <c r="S32" s="446"/>
      <c r="T32" s="446"/>
      <c r="U32" s="446"/>
      <c r="V32" s="446"/>
    </row>
    <row r="33" ht="23.25" customHeight="1">
      <c r="A33" s="446"/>
      <c r="B33" s="446"/>
      <c r="C33" s="446"/>
      <c r="D33" s="446"/>
      <c r="E33" s="446"/>
      <c r="F33" s="446"/>
      <c r="G33" s="446"/>
      <c r="H33" s="446"/>
      <c r="I33" s="446"/>
      <c r="J33" s="446"/>
      <c r="K33" s="446"/>
      <c r="L33" s="446"/>
      <c r="M33" s="446"/>
      <c r="N33" s="446"/>
      <c r="O33" s="446"/>
      <c r="P33" s="446"/>
      <c r="Q33" s="446"/>
      <c r="R33" s="446"/>
      <c r="S33" s="446"/>
      <c r="T33" s="446"/>
      <c r="U33" s="446"/>
      <c r="V33" s="446"/>
    </row>
    <row r="34" ht="23.25" customHeight="1">
      <c r="A34" s="446"/>
      <c r="B34" s="446"/>
      <c r="C34" s="446"/>
      <c r="D34" s="446"/>
      <c r="E34" s="446"/>
      <c r="F34" s="446"/>
      <c r="G34" s="446"/>
      <c r="H34" s="446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446"/>
      <c r="V34" s="446"/>
    </row>
    <row r="35" ht="23.25" customHeight="1">
      <c r="A35" s="446"/>
      <c r="B35" s="446"/>
      <c r="C35" s="446"/>
      <c r="D35" s="446"/>
      <c r="E35" s="446"/>
      <c r="F35" s="446"/>
      <c r="G35" s="446"/>
      <c r="H35" s="446"/>
      <c r="I35" s="446"/>
      <c r="J35" s="446"/>
      <c r="K35" s="446"/>
      <c r="L35" s="446"/>
      <c r="M35" s="446"/>
      <c r="N35" s="446"/>
      <c r="O35" s="446"/>
      <c r="P35" s="446"/>
      <c r="Q35" s="446"/>
      <c r="R35" s="446"/>
      <c r="S35" s="446"/>
      <c r="T35" s="446"/>
      <c r="U35" s="446"/>
      <c r="V35" s="446"/>
    </row>
    <row r="36" ht="23.25" customHeight="1">
      <c r="A36" s="446"/>
      <c r="B36" s="446"/>
      <c r="C36" s="446"/>
      <c r="D36" s="446"/>
      <c r="E36" s="446"/>
      <c r="F36" s="446"/>
      <c r="G36" s="446"/>
      <c r="H36" s="446"/>
      <c r="I36" s="446"/>
      <c r="J36" s="446"/>
      <c r="K36" s="446"/>
      <c r="L36" s="446"/>
      <c r="M36" s="446"/>
      <c r="N36" s="446"/>
      <c r="O36" s="446"/>
      <c r="P36" s="446"/>
      <c r="Q36" s="446"/>
      <c r="R36" s="446"/>
      <c r="S36" s="446"/>
      <c r="T36" s="446"/>
      <c r="U36" s="446"/>
      <c r="V36" s="446"/>
    </row>
    <row r="37" ht="23.25" customHeight="1">
      <c r="A37" s="446"/>
      <c r="B37" s="446"/>
      <c r="C37" s="446"/>
      <c r="D37" s="446"/>
      <c r="E37" s="446"/>
      <c r="F37" s="446"/>
      <c r="G37" s="446"/>
      <c r="H37" s="446"/>
      <c r="I37" s="446"/>
      <c r="J37" s="446"/>
      <c r="K37" s="446"/>
      <c r="L37" s="446"/>
      <c r="M37" s="446"/>
      <c r="N37" s="446"/>
      <c r="O37" s="446"/>
      <c r="P37" s="446"/>
      <c r="Q37" s="446"/>
      <c r="R37" s="446"/>
      <c r="S37" s="446"/>
      <c r="T37" s="446"/>
      <c r="U37" s="446"/>
      <c r="V37" s="446"/>
    </row>
    <row r="38" ht="23.25" customHeight="1">
      <c r="A38" s="446"/>
      <c r="B38" s="446"/>
      <c r="C38" s="446"/>
      <c r="D38" s="446"/>
      <c r="E38" s="446"/>
      <c r="F38" s="446"/>
      <c r="G38" s="446"/>
      <c r="H38" s="446"/>
      <c r="I38" s="446"/>
      <c r="J38" s="446"/>
      <c r="K38" s="446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446"/>
    </row>
    <row r="39" ht="23.25" customHeight="1">
      <c r="A39" s="446"/>
      <c r="B39" s="446"/>
      <c r="C39" s="446"/>
      <c r="D39" s="446"/>
      <c r="E39" s="446"/>
      <c r="F39" s="446"/>
      <c r="G39" s="446"/>
      <c r="H39" s="446"/>
      <c r="I39" s="446"/>
      <c r="J39" s="446"/>
      <c r="K39" s="446"/>
      <c r="L39" s="446"/>
      <c r="M39" s="446"/>
      <c r="N39" s="446"/>
      <c r="O39" s="446"/>
      <c r="P39" s="446"/>
      <c r="Q39" s="446"/>
      <c r="R39" s="446"/>
      <c r="S39" s="446"/>
      <c r="T39" s="446"/>
      <c r="U39" s="446"/>
      <c r="V39" s="446"/>
    </row>
    <row r="40" ht="23.25" customHeight="1">
      <c r="A40" s="446"/>
      <c r="B40" s="446"/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446"/>
      <c r="Q40" s="446"/>
      <c r="R40" s="446"/>
      <c r="S40" s="446"/>
      <c r="T40" s="446"/>
      <c r="U40" s="446"/>
      <c r="V40" s="446"/>
    </row>
    <row r="41" ht="23.25" customHeight="1">
      <c r="A41" s="446"/>
      <c r="B41" s="446"/>
      <c r="C41" s="446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6"/>
      <c r="R41" s="446"/>
      <c r="S41" s="446"/>
      <c r="T41" s="446"/>
      <c r="U41" s="446"/>
      <c r="V41" s="446"/>
    </row>
    <row r="42" ht="23.25" customHeight="1">
      <c r="A42" s="446"/>
      <c r="B42" s="446"/>
      <c r="C42" s="446"/>
      <c r="D42" s="446"/>
      <c r="E42" s="446"/>
      <c r="F42" s="446"/>
      <c r="G42" s="446"/>
      <c r="H42" s="446"/>
      <c r="I42" s="446"/>
      <c r="J42" s="446"/>
      <c r="K42" s="446"/>
      <c r="L42" s="446"/>
      <c r="M42" s="446"/>
      <c r="N42" s="446"/>
      <c r="O42" s="446"/>
      <c r="P42" s="446"/>
      <c r="Q42" s="446"/>
      <c r="R42" s="446"/>
      <c r="S42" s="446"/>
      <c r="T42" s="446"/>
      <c r="U42" s="446"/>
      <c r="V42" s="446"/>
    </row>
    <row r="43" ht="23.25" customHeight="1">
      <c r="A43" s="446"/>
      <c r="B43" s="446"/>
      <c r="C43" s="446"/>
      <c r="D43" s="446"/>
      <c r="E43" s="446"/>
      <c r="F43" s="446"/>
      <c r="G43" s="446"/>
      <c r="H43" s="446"/>
      <c r="I43" s="446"/>
      <c r="J43" s="446"/>
      <c r="K43" s="446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446"/>
    </row>
    <row r="44" ht="23.25" customHeight="1">
      <c r="A44" s="446"/>
      <c r="B44" s="446"/>
      <c r="C44" s="446"/>
      <c r="D44" s="446"/>
      <c r="E44" s="446"/>
      <c r="F44" s="446"/>
      <c r="G44" s="446"/>
      <c r="H44" s="446"/>
      <c r="I44" s="446"/>
      <c r="J44" s="446"/>
      <c r="K44" s="446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446"/>
    </row>
    <row r="45" ht="23.25" customHeight="1">
      <c r="A45" s="446"/>
      <c r="B45" s="446"/>
      <c r="C45" s="446"/>
      <c r="D45" s="446"/>
      <c r="E45" s="446"/>
      <c r="F45" s="446"/>
      <c r="G45" s="446"/>
      <c r="H45" s="446"/>
      <c r="I45" s="446"/>
      <c r="J45" s="446"/>
      <c r="K45" s="446"/>
      <c r="L45" s="446"/>
      <c r="M45" s="446"/>
      <c r="N45" s="446"/>
      <c r="O45" s="446"/>
      <c r="P45" s="446"/>
      <c r="Q45" s="446"/>
      <c r="R45" s="446"/>
      <c r="S45" s="446"/>
      <c r="T45" s="446"/>
      <c r="U45" s="446"/>
      <c r="V45" s="446"/>
    </row>
    <row r="46" ht="23.25" customHeight="1">
      <c r="A46" s="446"/>
      <c r="B46" s="446"/>
      <c r="C46" s="446"/>
      <c r="D46" s="446"/>
      <c r="E46" s="446"/>
      <c r="F46" s="446"/>
      <c r="G46" s="446"/>
      <c r="H46" s="446"/>
      <c r="I46" s="446"/>
      <c r="J46" s="446"/>
      <c r="K46" s="446"/>
      <c r="L46" s="446"/>
      <c r="M46" s="446"/>
      <c r="N46" s="446"/>
      <c r="O46" s="446"/>
      <c r="P46" s="446"/>
      <c r="Q46" s="446"/>
      <c r="R46" s="446"/>
      <c r="S46" s="446"/>
      <c r="T46" s="446"/>
      <c r="U46" s="446"/>
      <c r="V46" s="446"/>
    </row>
    <row r="47" ht="23.25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446"/>
      <c r="T47" s="446"/>
      <c r="U47" s="446"/>
      <c r="V47" s="446"/>
    </row>
    <row r="48" ht="23.25" customHeight="1">
      <c r="A48" s="446"/>
      <c r="B48" s="446"/>
      <c r="C48" s="446"/>
      <c r="D48" s="446"/>
      <c r="E48" s="446"/>
      <c r="F48" s="446"/>
      <c r="G48" s="446"/>
      <c r="H48" s="446"/>
      <c r="I48" s="446"/>
      <c r="J48" s="446"/>
      <c r="K48" s="446"/>
      <c r="L48" s="446"/>
      <c r="M48" s="446"/>
      <c r="N48" s="446"/>
      <c r="O48" s="446"/>
      <c r="P48" s="446"/>
      <c r="Q48" s="446"/>
      <c r="R48" s="446"/>
      <c r="S48" s="446"/>
      <c r="T48" s="446"/>
      <c r="U48" s="446"/>
      <c r="V48" s="446"/>
    </row>
    <row r="49" ht="23.25" customHeight="1">
      <c r="A49" s="446"/>
      <c r="B49" s="446"/>
      <c r="C49" s="446"/>
      <c r="D49" s="446"/>
      <c r="E49" s="446"/>
      <c r="F49" s="446"/>
      <c r="G49" s="446"/>
      <c r="H49" s="446"/>
      <c r="I49" s="446"/>
      <c r="J49" s="446"/>
      <c r="K49" s="446"/>
      <c r="L49" s="446"/>
      <c r="M49" s="446"/>
      <c r="N49" s="446"/>
      <c r="O49" s="446"/>
      <c r="P49" s="446"/>
      <c r="Q49" s="446"/>
      <c r="R49" s="446"/>
      <c r="S49" s="446"/>
      <c r="T49" s="446"/>
      <c r="U49" s="446"/>
      <c r="V49" s="446"/>
    </row>
    <row r="50" ht="23.25" customHeight="1">
      <c r="A50" s="446"/>
      <c r="B50" s="446"/>
      <c r="C50" s="446"/>
      <c r="D50" s="446"/>
      <c r="E50" s="446"/>
      <c r="F50" s="446"/>
      <c r="G50" s="446"/>
      <c r="H50" s="446"/>
      <c r="I50" s="446"/>
      <c r="J50" s="446"/>
      <c r="K50" s="446"/>
      <c r="L50" s="446"/>
      <c r="M50" s="446"/>
      <c r="N50" s="446"/>
      <c r="O50" s="446"/>
      <c r="P50" s="446"/>
      <c r="Q50" s="446"/>
      <c r="R50" s="446"/>
      <c r="S50" s="446"/>
      <c r="T50" s="446"/>
      <c r="U50" s="446"/>
      <c r="V50" s="446"/>
    </row>
    <row r="51" ht="23.25" customHeight="1">
      <c r="A51" s="446"/>
      <c r="B51" s="446"/>
      <c r="C51" s="446"/>
      <c r="D51" s="446"/>
      <c r="E51" s="446"/>
      <c r="F51" s="446"/>
      <c r="G51" s="446"/>
      <c r="H51" s="446"/>
      <c r="I51" s="446"/>
      <c r="J51" s="446"/>
      <c r="K51" s="446"/>
      <c r="L51" s="446"/>
      <c r="M51" s="446"/>
      <c r="N51" s="446"/>
      <c r="O51" s="446"/>
      <c r="P51" s="446"/>
      <c r="Q51" s="446"/>
      <c r="R51" s="446"/>
      <c r="S51" s="446"/>
      <c r="T51" s="446"/>
      <c r="U51" s="446"/>
      <c r="V51" s="446"/>
    </row>
    <row r="52" ht="23.25" customHeight="1">
      <c r="A52" s="446"/>
      <c r="B52" s="446"/>
      <c r="C52" s="446"/>
      <c r="D52" s="446"/>
      <c r="E52" s="446"/>
      <c r="F52" s="446"/>
      <c r="G52" s="446"/>
      <c r="H52" s="446"/>
      <c r="I52" s="446"/>
      <c r="J52" s="446"/>
      <c r="K52" s="446"/>
      <c r="L52" s="446"/>
      <c r="M52" s="446"/>
      <c r="N52" s="446"/>
      <c r="O52" s="446"/>
      <c r="P52" s="446"/>
      <c r="Q52" s="446"/>
      <c r="R52" s="446"/>
      <c r="S52" s="446"/>
      <c r="T52" s="446"/>
      <c r="U52" s="446"/>
      <c r="V52" s="446"/>
    </row>
    <row r="53" ht="23.25" customHeight="1">
      <c r="A53" s="446"/>
      <c r="B53" s="446"/>
      <c r="C53" s="446"/>
      <c r="D53" s="446"/>
      <c r="E53" s="446"/>
      <c r="F53" s="446"/>
      <c r="G53" s="446"/>
      <c r="H53" s="446"/>
      <c r="I53" s="446"/>
      <c r="J53" s="446"/>
      <c r="K53" s="44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6"/>
    </row>
    <row r="54" ht="23.25" customHeight="1">
      <c r="A54" s="446"/>
      <c r="B54" s="446"/>
      <c r="C54" s="446"/>
      <c r="D54" s="446"/>
      <c r="E54" s="446"/>
      <c r="F54" s="446"/>
      <c r="G54" s="446"/>
      <c r="H54" s="446"/>
      <c r="I54" s="446"/>
      <c r="J54" s="446"/>
      <c r="K54" s="44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6"/>
    </row>
    <row r="55" ht="23.25" customHeight="1">
      <c r="A55" s="446"/>
      <c r="B55" s="446"/>
      <c r="C55" s="446"/>
      <c r="D55" s="446"/>
      <c r="E55" s="446"/>
      <c r="F55" s="446"/>
      <c r="G55" s="446"/>
      <c r="H55" s="446"/>
      <c r="I55" s="446"/>
      <c r="J55" s="446"/>
      <c r="K55" s="446"/>
      <c r="L55" s="446"/>
      <c r="M55" s="446"/>
      <c r="N55" s="446"/>
      <c r="O55" s="446"/>
      <c r="P55" s="446"/>
      <c r="Q55" s="446"/>
      <c r="R55" s="446"/>
      <c r="S55" s="446"/>
      <c r="T55" s="446"/>
      <c r="U55" s="446"/>
      <c r="V55" s="446"/>
    </row>
    <row r="56" ht="23.25" customHeight="1">
      <c r="A56" s="446"/>
      <c r="B56" s="446"/>
      <c r="C56" s="446"/>
      <c r="D56" s="446"/>
      <c r="E56" s="446"/>
      <c r="F56" s="446"/>
      <c r="G56" s="446"/>
      <c r="H56" s="446"/>
      <c r="I56" s="446"/>
      <c r="J56" s="446"/>
      <c r="K56" s="446"/>
      <c r="L56" s="446"/>
      <c r="M56" s="446"/>
      <c r="N56" s="446"/>
      <c r="O56" s="446"/>
      <c r="P56" s="446"/>
      <c r="Q56" s="446"/>
      <c r="R56" s="446"/>
      <c r="S56" s="446"/>
      <c r="T56" s="446"/>
      <c r="U56" s="446"/>
      <c r="V56" s="446"/>
    </row>
    <row r="57" ht="23.25" customHeight="1">
      <c r="A57" s="446"/>
      <c r="B57" s="446"/>
      <c r="C57" s="446"/>
      <c r="D57" s="446"/>
      <c r="E57" s="446"/>
      <c r="F57" s="446"/>
      <c r="G57" s="446"/>
      <c r="H57" s="446"/>
      <c r="I57" s="446"/>
      <c r="J57" s="446"/>
      <c r="K57" s="446"/>
      <c r="L57" s="446"/>
      <c r="M57" s="446"/>
      <c r="N57" s="446"/>
      <c r="O57" s="446"/>
      <c r="P57" s="446"/>
      <c r="Q57" s="446"/>
      <c r="R57" s="446"/>
      <c r="S57" s="446"/>
      <c r="T57" s="446"/>
      <c r="U57" s="446"/>
      <c r="V57" s="446"/>
    </row>
    <row r="58" ht="23.25" customHeight="1">
      <c r="A58" s="446"/>
      <c r="B58" s="446"/>
      <c r="C58" s="446"/>
      <c r="D58" s="446"/>
      <c r="E58" s="446"/>
      <c r="F58" s="446"/>
      <c r="G58" s="446"/>
      <c r="H58" s="446"/>
      <c r="I58" s="446"/>
      <c r="J58" s="446"/>
      <c r="K58" s="446"/>
      <c r="L58" s="446"/>
      <c r="M58" s="446"/>
      <c r="N58" s="446"/>
      <c r="O58" s="446"/>
      <c r="P58" s="446"/>
      <c r="Q58" s="446"/>
      <c r="R58" s="446"/>
      <c r="S58" s="446"/>
      <c r="T58" s="446"/>
      <c r="U58" s="446"/>
      <c r="V58" s="446"/>
    </row>
    <row r="59" ht="23.25" customHeight="1">
      <c r="A59" s="446"/>
      <c r="B59" s="446"/>
      <c r="C59" s="446"/>
      <c r="D59" s="446"/>
      <c r="E59" s="446"/>
      <c r="F59" s="446"/>
      <c r="G59" s="446"/>
      <c r="H59" s="446"/>
      <c r="I59" s="446"/>
      <c r="J59" s="446"/>
      <c r="K59" s="446"/>
      <c r="L59" s="446"/>
      <c r="M59" s="446"/>
      <c r="N59" s="446"/>
      <c r="O59" s="446"/>
      <c r="P59" s="446"/>
      <c r="Q59" s="446"/>
      <c r="R59" s="446"/>
      <c r="S59" s="446"/>
      <c r="T59" s="446"/>
      <c r="U59" s="446"/>
      <c r="V59" s="446"/>
    </row>
    <row r="60" ht="23.25" customHeight="1">
      <c r="A60" s="446"/>
      <c r="B60" s="446"/>
      <c r="C60" s="446"/>
      <c r="D60" s="446"/>
      <c r="E60" s="446"/>
      <c r="F60" s="446"/>
      <c r="G60" s="446"/>
      <c r="H60" s="446"/>
      <c r="I60" s="446"/>
      <c r="J60" s="446"/>
      <c r="K60" s="446"/>
      <c r="L60" s="446"/>
      <c r="M60" s="446"/>
      <c r="N60" s="446"/>
      <c r="O60" s="446"/>
      <c r="P60" s="446"/>
      <c r="Q60" s="446"/>
      <c r="R60" s="446"/>
      <c r="S60" s="446"/>
      <c r="T60" s="446"/>
      <c r="U60" s="446"/>
      <c r="V60" s="446"/>
    </row>
    <row r="61" ht="23.25" customHeight="1">
      <c r="A61" s="446"/>
      <c r="B61" s="446"/>
      <c r="C61" s="446"/>
      <c r="D61" s="446"/>
      <c r="E61" s="446"/>
      <c r="F61" s="446"/>
      <c r="G61" s="446"/>
      <c r="H61" s="446"/>
      <c r="I61" s="446"/>
      <c r="J61" s="446"/>
      <c r="K61" s="446"/>
      <c r="L61" s="446"/>
      <c r="M61" s="446"/>
      <c r="N61" s="446"/>
      <c r="O61" s="446"/>
      <c r="P61" s="446"/>
      <c r="Q61" s="446"/>
      <c r="R61" s="446"/>
      <c r="S61" s="446"/>
      <c r="T61" s="446"/>
      <c r="U61" s="446"/>
      <c r="V61" s="446"/>
    </row>
    <row r="62" ht="23.25" customHeight="1">
      <c r="A62" s="446"/>
      <c r="B62" s="446"/>
      <c r="C62" s="446"/>
      <c r="D62" s="446"/>
      <c r="E62" s="446"/>
      <c r="F62" s="446"/>
      <c r="G62" s="446"/>
      <c r="H62" s="446"/>
      <c r="I62" s="446"/>
      <c r="J62" s="446"/>
      <c r="K62" s="446"/>
      <c r="L62" s="446"/>
      <c r="M62" s="446"/>
      <c r="N62" s="446"/>
      <c r="O62" s="446"/>
      <c r="P62" s="446"/>
      <c r="Q62" s="446"/>
      <c r="R62" s="446"/>
      <c r="S62" s="446"/>
      <c r="T62" s="446"/>
      <c r="U62" s="446"/>
      <c r="V62" s="446"/>
    </row>
    <row r="63" ht="23.25" customHeight="1">
      <c r="A63" s="446"/>
      <c r="B63" s="446"/>
      <c r="C63" s="446"/>
      <c r="D63" s="446"/>
      <c r="E63" s="446"/>
      <c r="F63" s="446"/>
      <c r="G63" s="446"/>
      <c r="H63" s="446"/>
      <c r="I63" s="446"/>
      <c r="J63" s="446"/>
      <c r="K63" s="446"/>
      <c r="L63" s="446"/>
      <c r="M63" s="446"/>
      <c r="N63" s="446"/>
      <c r="O63" s="446"/>
      <c r="P63" s="446"/>
      <c r="Q63" s="446"/>
      <c r="R63" s="446"/>
      <c r="S63" s="446"/>
      <c r="T63" s="446"/>
      <c r="U63" s="446"/>
      <c r="V63" s="446"/>
    </row>
    <row r="64" ht="23.25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6"/>
    </row>
    <row r="65" ht="23.25" customHeight="1">
      <c r="A65" s="446"/>
      <c r="B65" s="446"/>
      <c r="C65" s="446"/>
      <c r="D65" s="446"/>
      <c r="E65" s="446"/>
      <c r="F65" s="446"/>
      <c r="G65" s="446"/>
      <c r="H65" s="446"/>
      <c r="I65" s="446"/>
      <c r="J65" s="446"/>
      <c r="K65" s="446"/>
      <c r="L65" s="446"/>
      <c r="M65" s="446"/>
      <c r="N65" s="446"/>
      <c r="O65" s="446"/>
      <c r="P65" s="446"/>
      <c r="Q65" s="446"/>
      <c r="R65" s="446"/>
      <c r="S65" s="446"/>
      <c r="T65" s="446"/>
      <c r="U65" s="446"/>
      <c r="V65" s="446"/>
    </row>
    <row r="66" ht="23.25" customHeight="1">
      <c r="A66" s="446"/>
      <c r="B66" s="446"/>
      <c r="C66" s="446"/>
      <c r="D66" s="446"/>
      <c r="E66" s="446"/>
      <c r="F66" s="446"/>
      <c r="G66" s="446"/>
      <c r="H66" s="446"/>
      <c r="I66" s="446"/>
      <c r="J66" s="446"/>
      <c r="K66" s="446"/>
      <c r="L66" s="446"/>
      <c r="M66" s="446"/>
      <c r="N66" s="446"/>
      <c r="O66" s="446"/>
      <c r="P66" s="446"/>
      <c r="Q66" s="446"/>
      <c r="R66" s="446"/>
      <c r="S66" s="446"/>
      <c r="T66" s="446"/>
      <c r="U66" s="446"/>
      <c r="V66" s="446"/>
    </row>
    <row r="67" ht="23.25" customHeight="1">
      <c r="A67" s="446"/>
      <c r="B67" s="446"/>
      <c r="C67" s="446"/>
      <c r="D67" s="446"/>
      <c r="E67" s="446"/>
      <c r="F67" s="446"/>
      <c r="G67" s="446"/>
      <c r="H67" s="446"/>
      <c r="I67" s="446"/>
      <c r="J67" s="446"/>
      <c r="K67" s="44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6"/>
    </row>
    <row r="68" ht="23.25" customHeight="1">
      <c r="A68" s="446"/>
      <c r="B68" s="446"/>
      <c r="C68" s="446"/>
      <c r="D68" s="446"/>
      <c r="E68" s="446"/>
      <c r="F68" s="446"/>
      <c r="G68" s="446"/>
      <c r="H68" s="446"/>
      <c r="I68" s="446"/>
      <c r="J68" s="446"/>
      <c r="K68" s="44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6"/>
    </row>
    <row r="69" ht="23.25" customHeight="1">
      <c r="A69" s="446"/>
      <c r="B69" s="446"/>
      <c r="C69" s="446"/>
      <c r="D69" s="446"/>
      <c r="E69" s="446"/>
      <c r="F69" s="446"/>
      <c r="G69" s="446"/>
      <c r="H69" s="446"/>
      <c r="I69" s="446"/>
      <c r="J69" s="446"/>
      <c r="K69" s="446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446"/>
    </row>
    <row r="70" ht="23.25" customHeight="1">
      <c r="A70" s="446"/>
      <c r="B70" s="446"/>
      <c r="C70" s="446"/>
      <c r="D70" s="446"/>
      <c r="E70" s="446"/>
      <c r="F70" s="446"/>
      <c r="G70" s="446"/>
      <c r="H70" s="446"/>
      <c r="I70" s="446"/>
      <c r="J70" s="446"/>
      <c r="K70" s="446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446"/>
    </row>
    <row r="71" ht="23.25" customHeight="1">
      <c r="A71" s="446"/>
      <c r="B71" s="446"/>
      <c r="C71" s="446"/>
      <c r="D71" s="446"/>
      <c r="E71" s="446"/>
      <c r="F71" s="446"/>
      <c r="G71" s="446"/>
      <c r="H71" s="446"/>
      <c r="I71" s="446"/>
      <c r="J71" s="446"/>
      <c r="K71" s="446"/>
      <c r="L71" s="446"/>
      <c r="M71" s="446"/>
      <c r="N71" s="446"/>
      <c r="O71" s="446"/>
      <c r="P71" s="446"/>
      <c r="Q71" s="446"/>
      <c r="R71" s="446"/>
      <c r="S71" s="446"/>
      <c r="T71" s="446"/>
      <c r="U71" s="446"/>
      <c r="V71" s="446"/>
    </row>
    <row r="72" ht="23.25" customHeight="1">
      <c r="A72" s="446"/>
      <c r="B72" s="446"/>
      <c r="C72" s="446"/>
      <c r="D72" s="446"/>
      <c r="E72" s="446"/>
      <c r="F72" s="446"/>
      <c r="G72" s="446"/>
      <c r="H72" s="446"/>
      <c r="I72" s="446"/>
      <c r="J72" s="446"/>
      <c r="K72" s="446"/>
      <c r="L72" s="446"/>
      <c r="M72" s="446"/>
      <c r="N72" s="446"/>
      <c r="O72" s="446"/>
      <c r="P72" s="446"/>
      <c r="Q72" s="446"/>
      <c r="R72" s="446"/>
      <c r="S72" s="446"/>
      <c r="T72" s="446"/>
      <c r="U72" s="446"/>
      <c r="V72" s="446"/>
    </row>
    <row r="73" ht="23.25" customHeight="1">
      <c r="A73" s="446"/>
      <c r="B73" s="446"/>
      <c r="C73" s="446"/>
      <c r="D73" s="446"/>
      <c r="E73" s="446"/>
      <c r="F73" s="446"/>
      <c r="G73" s="446"/>
      <c r="H73" s="446"/>
      <c r="I73" s="446"/>
      <c r="J73" s="446"/>
      <c r="K73" s="446"/>
      <c r="L73" s="446"/>
      <c r="M73" s="446"/>
      <c r="N73" s="446"/>
      <c r="O73" s="446"/>
      <c r="P73" s="446"/>
      <c r="Q73" s="446"/>
      <c r="R73" s="446"/>
      <c r="S73" s="446"/>
      <c r="T73" s="446"/>
      <c r="U73" s="446"/>
      <c r="V73" s="446"/>
    </row>
    <row r="74" ht="23.25" customHeight="1">
      <c r="A74" s="446"/>
      <c r="B74" s="446"/>
      <c r="C74" s="446"/>
      <c r="D74" s="446"/>
      <c r="E74" s="446"/>
      <c r="F74" s="446"/>
      <c r="G74" s="446"/>
      <c r="H74" s="446"/>
      <c r="I74" s="446"/>
      <c r="J74" s="446"/>
      <c r="K74" s="446"/>
      <c r="L74" s="446"/>
      <c r="M74" s="446"/>
      <c r="N74" s="446"/>
      <c r="O74" s="446"/>
      <c r="P74" s="446"/>
      <c r="Q74" s="446"/>
      <c r="R74" s="446"/>
      <c r="S74" s="446"/>
      <c r="T74" s="446"/>
      <c r="U74" s="446"/>
      <c r="V74" s="446"/>
    </row>
    <row r="75" ht="23.25" customHeight="1">
      <c r="A75" s="446"/>
      <c r="B75" s="446"/>
      <c r="C75" s="446"/>
      <c r="D75" s="446"/>
      <c r="E75" s="446"/>
      <c r="F75" s="446"/>
      <c r="G75" s="446"/>
      <c r="H75" s="446"/>
      <c r="I75" s="446"/>
      <c r="J75" s="446"/>
      <c r="K75" s="446"/>
      <c r="L75" s="446"/>
      <c r="M75" s="446"/>
      <c r="N75" s="446"/>
      <c r="O75" s="446"/>
      <c r="P75" s="446"/>
      <c r="Q75" s="446"/>
      <c r="R75" s="446"/>
      <c r="S75" s="446"/>
      <c r="T75" s="446"/>
      <c r="U75" s="446"/>
      <c r="V75" s="446"/>
    </row>
    <row r="76" ht="23.25" customHeight="1">
      <c r="A76" s="446"/>
      <c r="B76" s="446"/>
      <c r="C76" s="446"/>
      <c r="D76" s="446"/>
      <c r="E76" s="446"/>
      <c r="F76" s="446"/>
      <c r="G76" s="446"/>
      <c r="H76" s="446"/>
      <c r="I76" s="446"/>
      <c r="J76" s="446"/>
      <c r="K76" s="446"/>
      <c r="L76" s="446"/>
      <c r="M76" s="446"/>
      <c r="N76" s="446"/>
      <c r="O76" s="446"/>
      <c r="P76" s="446"/>
      <c r="Q76" s="446"/>
      <c r="R76" s="446"/>
      <c r="S76" s="446"/>
      <c r="T76" s="446"/>
      <c r="U76" s="446"/>
      <c r="V76" s="446"/>
    </row>
    <row r="77" ht="23.25" customHeight="1">
      <c r="A77" s="446"/>
      <c r="B77" s="446"/>
      <c r="C77" s="446"/>
      <c r="D77" s="446"/>
      <c r="E77" s="446"/>
      <c r="F77" s="446"/>
      <c r="G77" s="446"/>
      <c r="H77" s="446"/>
      <c r="I77" s="446"/>
      <c r="J77" s="446"/>
      <c r="K77" s="446"/>
      <c r="L77" s="446"/>
      <c r="M77" s="446"/>
      <c r="N77" s="446"/>
      <c r="O77" s="446"/>
      <c r="P77" s="446"/>
      <c r="Q77" s="446"/>
      <c r="R77" s="446"/>
      <c r="S77" s="446"/>
      <c r="T77" s="446"/>
      <c r="U77" s="446"/>
      <c r="V77" s="446"/>
    </row>
    <row r="78" ht="23.25" customHeight="1">
      <c r="A78" s="446"/>
      <c r="B78" s="446"/>
      <c r="C78" s="446"/>
      <c r="D78" s="446"/>
      <c r="E78" s="446"/>
      <c r="F78" s="446"/>
      <c r="G78" s="446"/>
      <c r="H78" s="446"/>
      <c r="I78" s="446"/>
      <c r="J78" s="446"/>
      <c r="K78" s="446"/>
      <c r="L78" s="446"/>
      <c r="M78" s="446"/>
      <c r="N78" s="446"/>
      <c r="O78" s="446"/>
      <c r="P78" s="446"/>
      <c r="Q78" s="446"/>
      <c r="R78" s="446"/>
      <c r="S78" s="446"/>
      <c r="T78" s="446"/>
      <c r="U78" s="446"/>
      <c r="V78" s="446"/>
    </row>
    <row r="79" ht="23.25" customHeight="1">
      <c r="A79" s="446"/>
      <c r="B79" s="446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446"/>
    </row>
    <row r="80" ht="23.25" customHeight="1">
      <c r="A80" s="446"/>
      <c r="B80" s="446"/>
      <c r="C80" s="446"/>
      <c r="D80" s="446"/>
      <c r="E80" s="446"/>
      <c r="F80" s="446"/>
      <c r="G80" s="446"/>
      <c r="H80" s="446"/>
      <c r="I80" s="446"/>
      <c r="J80" s="446"/>
      <c r="K80" s="446"/>
      <c r="L80" s="446"/>
      <c r="M80" s="446"/>
      <c r="N80" s="446"/>
      <c r="O80" s="446"/>
      <c r="P80" s="446"/>
      <c r="Q80" s="446"/>
      <c r="R80" s="446"/>
      <c r="S80" s="446"/>
      <c r="T80" s="446"/>
      <c r="U80" s="446"/>
      <c r="V80" s="446"/>
    </row>
    <row r="81" ht="23.25" customHeight="1">
      <c r="A81" s="446"/>
      <c r="B81" s="446"/>
      <c r="C81" s="446"/>
      <c r="D81" s="446"/>
      <c r="E81" s="446"/>
      <c r="F81" s="446"/>
      <c r="G81" s="446"/>
      <c r="H81" s="446"/>
      <c r="I81" s="446"/>
      <c r="J81" s="446"/>
      <c r="K81" s="446"/>
      <c r="L81" s="446"/>
      <c r="M81" s="446"/>
      <c r="N81" s="446"/>
      <c r="O81" s="446"/>
      <c r="P81" s="446"/>
      <c r="Q81" s="446"/>
      <c r="R81" s="446"/>
      <c r="S81" s="446"/>
      <c r="T81" s="446"/>
      <c r="U81" s="446"/>
      <c r="V81" s="446"/>
    </row>
    <row r="82" ht="23.25" customHeight="1">
      <c r="A82" s="446"/>
      <c r="B82" s="446"/>
      <c r="C82" s="446"/>
      <c r="D82" s="446"/>
      <c r="E82" s="446"/>
      <c r="F82" s="446"/>
      <c r="G82" s="446"/>
      <c r="H82" s="446"/>
      <c r="I82" s="446"/>
      <c r="J82" s="446"/>
      <c r="K82" s="446"/>
      <c r="L82" s="446"/>
      <c r="M82" s="446"/>
      <c r="N82" s="446"/>
      <c r="O82" s="446"/>
      <c r="P82" s="446"/>
      <c r="Q82" s="446"/>
      <c r="R82" s="446"/>
      <c r="S82" s="446"/>
      <c r="T82" s="446"/>
      <c r="U82" s="446"/>
      <c r="V82" s="446"/>
    </row>
    <row r="83" ht="23.25" customHeight="1">
      <c r="A83" s="446"/>
      <c r="B83" s="446"/>
      <c r="C83" s="446"/>
      <c r="D83" s="446"/>
      <c r="E83" s="446"/>
      <c r="F83" s="446"/>
      <c r="G83" s="446"/>
      <c r="H83" s="446"/>
      <c r="I83" s="446"/>
      <c r="J83" s="446"/>
      <c r="K83" s="446"/>
      <c r="L83" s="446"/>
      <c r="M83" s="446"/>
      <c r="N83" s="446"/>
      <c r="O83" s="446"/>
      <c r="P83" s="446"/>
      <c r="Q83" s="446"/>
      <c r="R83" s="446"/>
      <c r="S83" s="446"/>
      <c r="T83" s="446"/>
      <c r="U83" s="446"/>
      <c r="V83" s="446"/>
    </row>
    <row r="84" ht="23.25" customHeight="1">
      <c r="A84" s="446"/>
      <c r="B84" s="446"/>
      <c r="C84" s="446"/>
      <c r="D84" s="446"/>
      <c r="E84" s="446"/>
      <c r="F84" s="446"/>
      <c r="G84" s="446"/>
      <c r="H84" s="446"/>
      <c r="I84" s="446"/>
      <c r="J84" s="446"/>
      <c r="K84" s="446"/>
      <c r="L84" s="446"/>
      <c r="M84" s="446"/>
      <c r="N84" s="446"/>
      <c r="O84" s="446"/>
      <c r="P84" s="446"/>
      <c r="Q84" s="446"/>
      <c r="R84" s="446"/>
      <c r="S84" s="446"/>
      <c r="T84" s="446"/>
      <c r="U84" s="446"/>
      <c r="V84" s="446"/>
    </row>
    <row r="85" ht="23.25" customHeight="1">
      <c r="A85" s="446"/>
      <c r="B85" s="446"/>
      <c r="C85" s="446"/>
      <c r="D85" s="446"/>
      <c r="E85" s="446"/>
      <c r="F85" s="446"/>
      <c r="G85" s="446"/>
      <c r="H85" s="446"/>
      <c r="I85" s="446"/>
      <c r="J85" s="446"/>
      <c r="K85" s="446"/>
      <c r="L85" s="446"/>
      <c r="M85" s="446"/>
      <c r="N85" s="446"/>
      <c r="O85" s="446"/>
      <c r="P85" s="446"/>
      <c r="Q85" s="446"/>
      <c r="R85" s="446"/>
      <c r="S85" s="446"/>
      <c r="T85" s="446"/>
      <c r="U85" s="446"/>
      <c r="V85" s="446"/>
    </row>
    <row r="86" ht="23.25" customHeight="1">
      <c r="A86" s="446"/>
      <c r="B86" s="446"/>
      <c r="C86" s="446"/>
      <c r="D86" s="446"/>
      <c r="E86" s="446"/>
      <c r="F86" s="446"/>
      <c r="G86" s="446"/>
      <c r="H86" s="446"/>
      <c r="I86" s="446"/>
      <c r="J86" s="446"/>
      <c r="K86" s="446"/>
      <c r="L86" s="446"/>
      <c r="M86" s="446"/>
      <c r="N86" s="446"/>
      <c r="O86" s="446"/>
      <c r="P86" s="446"/>
      <c r="Q86" s="446"/>
      <c r="R86" s="446"/>
      <c r="S86" s="446"/>
      <c r="T86" s="446"/>
      <c r="U86" s="446"/>
      <c r="V86" s="446"/>
    </row>
    <row r="87" ht="23.25" customHeight="1">
      <c r="A87" s="446"/>
      <c r="B87" s="446"/>
      <c r="C87" s="446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6"/>
      <c r="R87" s="446"/>
      <c r="S87" s="446"/>
      <c r="T87" s="446"/>
      <c r="U87" s="446"/>
      <c r="V87" s="446"/>
    </row>
    <row r="88" ht="23.25" customHeight="1">
      <c r="A88" s="446"/>
      <c r="B88" s="446"/>
      <c r="C88" s="446"/>
      <c r="D88" s="446"/>
      <c r="E88" s="446"/>
      <c r="F88" s="446"/>
      <c r="G88" s="446"/>
      <c r="H88" s="446"/>
      <c r="I88" s="446"/>
      <c r="J88" s="446"/>
      <c r="K88" s="446"/>
      <c r="L88" s="446"/>
      <c r="M88" s="446"/>
      <c r="N88" s="446"/>
      <c r="O88" s="446"/>
      <c r="P88" s="446"/>
      <c r="Q88" s="446"/>
      <c r="R88" s="446"/>
      <c r="S88" s="446"/>
      <c r="T88" s="446"/>
      <c r="U88" s="446"/>
      <c r="V88" s="446"/>
    </row>
    <row r="89" ht="23.25" customHeight="1">
      <c r="A89" s="446"/>
      <c r="B89" s="446"/>
      <c r="C89" s="446"/>
      <c r="D89" s="446"/>
      <c r="E89" s="446"/>
      <c r="F89" s="446"/>
      <c r="G89" s="446"/>
      <c r="H89" s="446"/>
      <c r="I89" s="446"/>
      <c r="J89" s="446"/>
      <c r="K89" s="446"/>
      <c r="L89" s="446"/>
      <c r="M89" s="446"/>
      <c r="N89" s="446"/>
      <c r="O89" s="446"/>
      <c r="P89" s="446"/>
      <c r="Q89" s="446"/>
      <c r="R89" s="446"/>
      <c r="S89" s="446"/>
      <c r="T89" s="446"/>
      <c r="U89" s="446"/>
      <c r="V89" s="446"/>
    </row>
    <row r="90" ht="23.25" customHeight="1">
      <c r="A90" s="446"/>
      <c r="B90" s="446"/>
      <c r="C90" s="446"/>
      <c r="D90" s="446"/>
      <c r="E90" s="446"/>
      <c r="F90" s="446"/>
      <c r="G90" s="446"/>
      <c r="H90" s="446"/>
      <c r="I90" s="446"/>
      <c r="J90" s="446"/>
      <c r="K90" s="446"/>
      <c r="L90" s="446"/>
      <c r="M90" s="446"/>
      <c r="N90" s="446"/>
      <c r="O90" s="446"/>
      <c r="P90" s="446"/>
      <c r="Q90" s="446"/>
      <c r="R90" s="446"/>
      <c r="S90" s="446"/>
      <c r="T90" s="446"/>
      <c r="U90" s="446"/>
      <c r="V90" s="446"/>
    </row>
    <row r="91" ht="23.25" customHeight="1">
      <c r="A91" s="446"/>
      <c r="B91" s="446"/>
      <c r="C91" s="446"/>
      <c r="D91" s="446"/>
      <c r="E91" s="446"/>
      <c r="F91" s="446"/>
      <c r="G91" s="446"/>
      <c r="H91" s="446"/>
      <c r="I91" s="446"/>
      <c r="J91" s="446"/>
      <c r="K91" s="446"/>
      <c r="L91" s="446"/>
      <c r="M91" s="446"/>
      <c r="N91" s="446"/>
      <c r="O91" s="446"/>
      <c r="P91" s="446"/>
      <c r="Q91" s="446"/>
      <c r="R91" s="446"/>
      <c r="S91" s="446"/>
      <c r="T91" s="446"/>
      <c r="U91" s="446"/>
      <c r="V91" s="446"/>
    </row>
    <row r="92" ht="23.25" customHeight="1">
      <c r="A92" s="446"/>
      <c r="B92" s="446"/>
      <c r="C92" s="446"/>
      <c r="D92" s="446"/>
      <c r="E92" s="446"/>
      <c r="F92" s="446"/>
      <c r="G92" s="446"/>
      <c r="H92" s="446"/>
      <c r="I92" s="446"/>
      <c r="J92" s="446"/>
      <c r="K92" s="446"/>
      <c r="L92" s="446"/>
      <c r="M92" s="446"/>
      <c r="N92" s="446"/>
      <c r="O92" s="446"/>
      <c r="P92" s="446"/>
      <c r="Q92" s="446"/>
      <c r="R92" s="446"/>
      <c r="S92" s="446"/>
      <c r="T92" s="446"/>
      <c r="U92" s="446"/>
      <c r="V92" s="446"/>
    </row>
    <row r="93" ht="23.25" customHeight="1">
      <c r="A93" s="446"/>
      <c r="B93" s="446"/>
      <c r="C93" s="446"/>
      <c r="D93" s="446"/>
      <c r="E93" s="446"/>
      <c r="F93" s="446"/>
      <c r="G93" s="446"/>
      <c r="H93" s="446"/>
      <c r="I93" s="446"/>
      <c r="J93" s="446"/>
      <c r="K93" s="446"/>
      <c r="L93" s="446"/>
      <c r="M93" s="446"/>
      <c r="N93" s="446"/>
      <c r="O93" s="446"/>
      <c r="P93" s="446"/>
      <c r="Q93" s="446"/>
      <c r="R93" s="446"/>
      <c r="S93" s="446"/>
      <c r="T93" s="446"/>
      <c r="U93" s="446"/>
      <c r="V93" s="446"/>
    </row>
    <row r="94" ht="23.25" customHeight="1">
      <c r="A94" s="446"/>
      <c r="B94" s="446"/>
      <c r="C94" s="446"/>
      <c r="D94" s="446"/>
      <c r="E94" s="446"/>
      <c r="F94" s="446"/>
      <c r="G94" s="446"/>
      <c r="H94" s="446"/>
      <c r="I94" s="446"/>
      <c r="J94" s="446"/>
      <c r="K94" s="446"/>
      <c r="L94" s="446"/>
      <c r="M94" s="446"/>
      <c r="N94" s="446"/>
      <c r="O94" s="446"/>
      <c r="P94" s="446"/>
      <c r="Q94" s="446"/>
      <c r="R94" s="446"/>
      <c r="S94" s="446"/>
      <c r="T94" s="446"/>
      <c r="U94" s="446"/>
      <c r="V94" s="446"/>
    </row>
    <row r="95" ht="23.25" customHeight="1">
      <c r="A95" s="446"/>
      <c r="B95" s="446"/>
      <c r="C95" s="446"/>
      <c r="D95" s="446"/>
      <c r="E95" s="446"/>
      <c r="F95" s="446"/>
      <c r="G95" s="446"/>
      <c r="H95" s="446"/>
      <c r="I95" s="446"/>
      <c r="J95" s="446"/>
      <c r="K95" s="446"/>
      <c r="L95" s="446"/>
      <c r="M95" s="446"/>
      <c r="N95" s="446"/>
      <c r="O95" s="446"/>
      <c r="P95" s="446"/>
      <c r="Q95" s="446"/>
      <c r="R95" s="446"/>
      <c r="S95" s="446"/>
      <c r="T95" s="446"/>
      <c r="U95" s="446"/>
      <c r="V95" s="446"/>
    </row>
    <row r="96" ht="23.25" customHeight="1">
      <c r="A96" s="446"/>
      <c r="B96" s="446"/>
      <c r="C96" s="446"/>
      <c r="D96" s="446"/>
      <c r="E96" s="446"/>
      <c r="F96" s="446"/>
      <c r="G96" s="446"/>
      <c r="H96" s="446"/>
      <c r="I96" s="446"/>
      <c r="J96" s="446"/>
      <c r="K96" s="446"/>
      <c r="L96" s="446"/>
      <c r="M96" s="446"/>
      <c r="N96" s="446"/>
      <c r="O96" s="446"/>
      <c r="P96" s="446"/>
      <c r="Q96" s="446"/>
      <c r="R96" s="446"/>
      <c r="S96" s="446"/>
      <c r="T96" s="446"/>
      <c r="U96" s="446"/>
      <c r="V96" s="446"/>
    </row>
    <row r="97" ht="23.25" customHeight="1">
      <c r="A97" s="446"/>
      <c r="B97" s="446"/>
      <c r="C97" s="446"/>
      <c r="D97" s="446"/>
      <c r="E97" s="446"/>
      <c r="F97" s="446"/>
      <c r="G97" s="446"/>
      <c r="H97" s="446"/>
      <c r="I97" s="446"/>
      <c r="J97" s="446"/>
      <c r="K97" s="446"/>
      <c r="L97" s="446"/>
      <c r="M97" s="446"/>
      <c r="N97" s="446"/>
      <c r="O97" s="446"/>
      <c r="P97" s="446"/>
      <c r="Q97" s="446"/>
      <c r="R97" s="446"/>
      <c r="S97" s="446"/>
      <c r="T97" s="446"/>
      <c r="U97" s="446"/>
      <c r="V97" s="446"/>
    </row>
    <row r="98" ht="23.25" customHeight="1">
      <c r="A98" s="446"/>
      <c r="B98" s="446"/>
      <c r="C98" s="446"/>
      <c r="D98" s="446"/>
      <c r="E98" s="446"/>
      <c r="F98" s="446"/>
      <c r="G98" s="446"/>
      <c r="H98" s="446"/>
      <c r="I98" s="446"/>
      <c r="J98" s="446"/>
      <c r="K98" s="446"/>
      <c r="L98" s="446"/>
      <c r="M98" s="446"/>
      <c r="N98" s="446"/>
      <c r="O98" s="446"/>
      <c r="P98" s="446"/>
      <c r="Q98" s="446"/>
      <c r="R98" s="446"/>
      <c r="S98" s="446"/>
      <c r="T98" s="446"/>
      <c r="U98" s="446"/>
      <c r="V98" s="446"/>
    </row>
    <row r="99" ht="23.25" customHeight="1">
      <c r="A99" s="446"/>
      <c r="B99" s="446"/>
      <c r="C99" s="446"/>
      <c r="D99" s="446"/>
      <c r="E99" s="446"/>
      <c r="F99" s="446"/>
      <c r="G99" s="446"/>
      <c r="H99" s="446"/>
      <c r="I99" s="446"/>
      <c r="J99" s="446"/>
      <c r="K99" s="446"/>
      <c r="L99" s="446"/>
      <c r="M99" s="446"/>
      <c r="N99" s="446"/>
      <c r="O99" s="446"/>
      <c r="P99" s="446"/>
      <c r="Q99" s="446"/>
      <c r="R99" s="446"/>
      <c r="S99" s="446"/>
      <c r="T99" s="446"/>
      <c r="U99" s="446"/>
      <c r="V99" s="446"/>
    </row>
    <row r="100" ht="23.25" customHeight="1">
      <c r="A100" s="446"/>
      <c r="B100" s="446"/>
      <c r="C100" s="446"/>
      <c r="D100" s="446"/>
      <c r="E100" s="446"/>
      <c r="F100" s="446"/>
      <c r="G100" s="446"/>
      <c r="H100" s="446"/>
      <c r="I100" s="446"/>
      <c r="J100" s="446"/>
      <c r="K100" s="446"/>
      <c r="L100" s="446"/>
      <c r="M100" s="446"/>
      <c r="N100" s="446"/>
      <c r="O100" s="446"/>
      <c r="P100" s="446"/>
      <c r="Q100" s="446"/>
      <c r="R100" s="446"/>
      <c r="S100" s="446"/>
      <c r="T100" s="446"/>
      <c r="U100" s="446"/>
      <c r="V100" s="446"/>
    </row>
    <row r="101" ht="23.25" customHeight="1">
      <c r="A101" s="446"/>
      <c r="B101" s="446"/>
      <c r="C101" s="446"/>
      <c r="D101" s="446"/>
      <c r="E101" s="446"/>
      <c r="F101" s="446"/>
      <c r="G101" s="446"/>
      <c r="H101" s="446"/>
      <c r="I101" s="446"/>
      <c r="J101" s="446"/>
      <c r="K101" s="446"/>
      <c r="L101" s="446"/>
      <c r="M101" s="446"/>
      <c r="N101" s="446"/>
      <c r="O101" s="446"/>
      <c r="P101" s="446"/>
      <c r="Q101" s="446"/>
      <c r="R101" s="446"/>
      <c r="S101" s="446"/>
      <c r="T101" s="446"/>
      <c r="U101" s="446"/>
      <c r="V101" s="446"/>
    </row>
    <row r="102" ht="23.25" customHeight="1">
      <c r="A102" s="446"/>
      <c r="B102" s="446"/>
      <c r="C102" s="446"/>
      <c r="D102" s="446"/>
      <c r="E102" s="446"/>
      <c r="F102" s="446"/>
      <c r="G102" s="446"/>
      <c r="H102" s="446"/>
      <c r="I102" s="446"/>
      <c r="J102" s="446"/>
      <c r="K102" s="446"/>
      <c r="L102" s="446"/>
      <c r="M102" s="446"/>
      <c r="N102" s="446"/>
      <c r="O102" s="446"/>
      <c r="P102" s="446"/>
      <c r="Q102" s="446"/>
      <c r="R102" s="446"/>
      <c r="S102" s="446"/>
      <c r="T102" s="446"/>
      <c r="U102" s="446"/>
      <c r="V102" s="446"/>
    </row>
    <row r="103" ht="23.25" customHeight="1">
      <c r="A103" s="446"/>
      <c r="B103" s="446"/>
      <c r="C103" s="446"/>
      <c r="D103" s="446"/>
      <c r="E103" s="446"/>
      <c r="F103" s="446"/>
      <c r="G103" s="446"/>
      <c r="H103" s="446"/>
      <c r="I103" s="446"/>
      <c r="J103" s="446"/>
      <c r="K103" s="446"/>
      <c r="L103" s="446"/>
      <c r="M103" s="446"/>
      <c r="N103" s="446"/>
      <c r="O103" s="446"/>
      <c r="P103" s="446"/>
      <c r="Q103" s="446"/>
      <c r="R103" s="446"/>
      <c r="S103" s="446"/>
      <c r="T103" s="446"/>
      <c r="U103" s="446"/>
      <c r="V103" s="446"/>
    </row>
    <row r="104" ht="23.25" customHeight="1">
      <c r="A104" s="446"/>
      <c r="B104" s="446"/>
      <c r="C104" s="446"/>
      <c r="D104" s="446"/>
      <c r="E104" s="446"/>
      <c r="F104" s="446"/>
      <c r="G104" s="446"/>
      <c r="H104" s="446"/>
      <c r="I104" s="446"/>
      <c r="J104" s="446"/>
      <c r="K104" s="446"/>
      <c r="L104" s="446"/>
      <c r="M104" s="446"/>
      <c r="N104" s="446"/>
      <c r="O104" s="446"/>
      <c r="P104" s="446"/>
      <c r="Q104" s="446"/>
      <c r="R104" s="446"/>
      <c r="S104" s="446"/>
      <c r="T104" s="446"/>
      <c r="U104" s="446"/>
      <c r="V104" s="446"/>
    </row>
    <row r="105" ht="23.25" customHeight="1">
      <c r="A105" s="446"/>
      <c r="B105" s="446"/>
      <c r="C105" s="446"/>
      <c r="D105" s="446"/>
      <c r="E105" s="446"/>
      <c r="F105" s="446"/>
      <c r="G105" s="446"/>
      <c r="H105" s="446"/>
      <c r="I105" s="446"/>
      <c r="J105" s="446"/>
      <c r="K105" s="446"/>
      <c r="L105" s="446"/>
      <c r="M105" s="446"/>
      <c r="N105" s="446"/>
      <c r="O105" s="446"/>
      <c r="P105" s="446"/>
      <c r="Q105" s="446"/>
      <c r="R105" s="446"/>
      <c r="S105" s="446"/>
      <c r="T105" s="446"/>
      <c r="U105" s="446"/>
      <c r="V105" s="446"/>
    </row>
    <row r="106" ht="23.25" customHeight="1">
      <c r="A106" s="446"/>
      <c r="B106" s="446"/>
      <c r="C106" s="446"/>
      <c r="D106" s="446"/>
      <c r="E106" s="446"/>
      <c r="F106" s="446"/>
      <c r="G106" s="446"/>
      <c r="H106" s="446"/>
      <c r="I106" s="446"/>
      <c r="J106" s="446"/>
      <c r="K106" s="446"/>
      <c r="L106" s="446"/>
      <c r="M106" s="446"/>
      <c r="N106" s="446"/>
      <c r="O106" s="446"/>
      <c r="P106" s="446"/>
      <c r="Q106" s="446"/>
      <c r="R106" s="446"/>
      <c r="S106" s="446"/>
      <c r="T106" s="446"/>
      <c r="U106" s="446"/>
      <c r="V106" s="446"/>
    </row>
    <row r="107" ht="23.25" customHeight="1">
      <c r="A107" s="446"/>
      <c r="B107" s="446"/>
      <c r="C107" s="446"/>
      <c r="D107" s="446"/>
      <c r="E107" s="446"/>
      <c r="F107" s="446"/>
      <c r="G107" s="446"/>
      <c r="H107" s="446"/>
      <c r="I107" s="446"/>
      <c r="J107" s="446"/>
      <c r="K107" s="446"/>
      <c r="L107" s="446"/>
      <c r="M107" s="446"/>
      <c r="N107" s="446"/>
      <c r="O107" s="446"/>
      <c r="P107" s="446"/>
      <c r="Q107" s="446"/>
      <c r="R107" s="446"/>
      <c r="S107" s="446"/>
      <c r="T107" s="446"/>
      <c r="U107" s="446"/>
      <c r="V107" s="446"/>
    </row>
    <row r="108" ht="23.25" customHeight="1">
      <c r="A108" s="446"/>
      <c r="B108" s="446"/>
      <c r="C108" s="446"/>
      <c r="D108" s="446"/>
      <c r="E108" s="446"/>
      <c r="F108" s="446"/>
      <c r="G108" s="446"/>
      <c r="H108" s="446"/>
      <c r="I108" s="446"/>
      <c r="J108" s="446"/>
      <c r="K108" s="446"/>
      <c r="L108" s="446"/>
      <c r="M108" s="446"/>
      <c r="N108" s="446"/>
      <c r="O108" s="446"/>
      <c r="P108" s="446"/>
      <c r="Q108" s="446"/>
      <c r="R108" s="446"/>
      <c r="S108" s="446"/>
      <c r="T108" s="446"/>
      <c r="U108" s="446"/>
      <c r="V108" s="446"/>
    </row>
    <row r="109" ht="23.25" customHeight="1">
      <c r="A109" s="446"/>
      <c r="B109" s="446"/>
      <c r="C109" s="446"/>
      <c r="D109" s="446"/>
      <c r="E109" s="446"/>
      <c r="F109" s="446"/>
      <c r="G109" s="446"/>
      <c r="H109" s="446"/>
      <c r="I109" s="446"/>
      <c r="J109" s="446"/>
      <c r="K109" s="446"/>
      <c r="L109" s="446"/>
      <c r="M109" s="446"/>
      <c r="N109" s="446"/>
      <c r="O109" s="446"/>
      <c r="P109" s="446"/>
      <c r="Q109" s="446"/>
      <c r="R109" s="446"/>
      <c r="S109" s="446"/>
      <c r="T109" s="446"/>
      <c r="U109" s="446"/>
      <c r="V109" s="446"/>
    </row>
    <row r="110" ht="23.25" customHeight="1">
      <c r="A110" s="446"/>
      <c r="B110" s="446"/>
      <c r="C110" s="446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6"/>
      <c r="R110" s="446"/>
      <c r="S110" s="446"/>
      <c r="T110" s="446"/>
      <c r="U110" s="446"/>
      <c r="V110" s="446"/>
    </row>
    <row r="111" ht="23.25" customHeight="1">
      <c r="A111" s="446"/>
      <c r="B111" s="446"/>
      <c r="C111" s="446"/>
      <c r="D111" s="446"/>
      <c r="E111" s="446"/>
      <c r="F111" s="446"/>
      <c r="G111" s="446"/>
      <c r="H111" s="446"/>
      <c r="I111" s="446"/>
      <c r="J111" s="446"/>
      <c r="K111" s="446"/>
      <c r="L111" s="446"/>
      <c r="M111" s="446"/>
      <c r="N111" s="446"/>
      <c r="O111" s="446"/>
      <c r="P111" s="446"/>
      <c r="Q111" s="446"/>
      <c r="R111" s="446"/>
      <c r="S111" s="446"/>
      <c r="T111" s="446"/>
      <c r="U111" s="446"/>
      <c r="V111" s="446"/>
    </row>
    <row r="112" ht="23.25" customHeight="1">
      <c r="A112" s="446"/>
      <c r="B112" s="446"/>
      <c r="C112" s="446"/>
      <c r="D112" s="446"/>
      <c r="E112" s="446"/>
      <c r="F112" s="446"/>
      <c r="G112" s="446"/>
      <c r="H112" s="446"/>
      <c r="I112" s="446"/>
      <c r="J112" s="446"/>
      <c r="K112" s="446"/>
      <c r="L112" s="446"/>
      <c r="M112" s="446"/>
      <c r="N112" s="446"/>
      <c r="O112" s="446"/>
      <c r="P112" s="446"/>
      <c r="Q112" s="446"/>
      <c r="R112" s="446"/>
      <c r="S112" s="446"/>
      <c r="T112" s="446"/>
      <c r="U112" s="446"/>
      <c r="V112" s="446"/>
    </row>
    <row r="113" ht="23.25" customHeight="1">
      <c r="A113" s="446"/>
      <c r="B113" s="446"/>
      <c r="C113" s="446"/>
      <c r="D113" s="446"/>
      <c r="E113" s="446"/>
      <c r="F113" s="446"/>
      <c r="G113" s="446"/>
      <c r="H113" s="446"/>
      <c r="I113" s="446"/>
      <c r="J113" s="446"/>
      <c r="K113" s="446"/>
      <c r="L113" s="446"/>
      <c r="M113" s="446"/>
      <c r="N113" s="446"/>
      <c r="O113" s="446"/>
      <c r="P113" s="446"/>
      <c r="Q113" s="446"/>
      <c r="R113" s="446"/>
      <c r="S113" s="446"/>
      <c r="T113" s="446"/>
      <c r="U113" s="446"/>
      <c r="V113" s="446"/>
    </row>
    <row r="114" ht="23.25" customHeight="1">
      <c r="A114" s="446"/>
      <c r="B114" s="446"/>
      <c r="C114" s="446"/>
      <c r="D114" s="446"/>
      <c r="E114" s="446"/>
      <c r="F114" s="446"/>
      <c r="G114" s="446"/>
      <c r="H114" s="446"/>
      <c r="I114" s="446"/>
      <c r="J114" s="446"/>
      <c r="K114" s="446"/>
      <c r="L114" s="446"/>
      <c r="M114" s="446"/>
      <c r="N114" s="446"/>
      <c r="O114" s="446"/>
      <c r="P114" s="446"/>
      <c r="Q114" s="446"/>
      <c r="R114" s="446"/>
      <c r="S114" s="446"/>
      <c r="T114" s="446"/>
      <c r="U114" s="446"/>
      <c r="V114" s="446"/>
    </row>
    <row r="115" ht="23.25" customHeight="1">
      <c r="A115" s="446"/>
      <c r="B115" s="446"/>
      <c r="C115" s="446"/>
      <c r="D115" s="446"/>
      <c r="E115" s="446"/>
      <c r="F115" s="446"/>
      <c r="G115" s="446"/>
      <c r="H115" s="446"/>
      <c r="I115" s="446"/>
      <c r="J115" s="446"/>
      <c r="K115" s="446"/>
      <c r="L115" s="446"/>
      <c r="M115" s="446"/>
      <c r="N115" s="446"/>
      <c r="O115" s="446"/>
      <c r="P115" s="446"/>
      <c r="Q115" s="446"/>
      <c r="R115" s="446"/>
      <c r="S115" s="446"/>
      <c r="T115" s="446"/>
      <c r="U115" s="446"/>
      <c r="V115" s="446"/>
    </row>
    <row r="116" ht="23.25" customHeight="1">
      <c r="A116" s="446"/>
      <c r="B116" s="446"/>
      <c r="C116" s="446"/>
      <c r="D116" s="446"/>
      <c r="E116" s="446"/>
      <c r="F116" s="446"/>
      <c r="G116" s="446"/>
      <c r="H116" s="446"/>
      <c r="I116" s="446"/>
      <c r="J116" s="446"/>
      <c r="K116" s="446"/>
      <c r="L116" s="446"/>
      <c r="M116" s="446"/>
      <c r="N116" s="446"/>
      <c r="O116" s="446"/>
      <c r="P116" s="446"/>
      <c r="Q116" s="446"/>
      <c r="R116" s="446"/>
      <c r="S116" s="446"/>
      <c r="T116" s="446"/>
      <c r="U116" s="446"/>
      <c r="V116" s="446"/>
    </row>
    <row r="117" ht="23.25" customHeight="1">
      <c r="A117" s="446"/>
      <c r="B117" s="446"/>
      <c r="C117" s="446"/>
      <c r="D117" s="446"/>
      <c r="E117" s="446"/>
      <c r="F117" s="446"/>
      <c r="G117" s="446"/>
      <c r="H117" s="446"/>
      <c r="I117" s="446"/>
      <c r="J117" s="446"/>
      <c r="K117" s="446"/>
      <c r="L117" s="446"/>
      <c r="M117" s="446"/>
      <c r="N117" s="446"/>
      <c r="O117" s="446"/>
      <c r="P117" s="446"/>
      <c r="Q117" s="446"/>
      <c r="R117" s="446"/>
      <c r="S117" s="446"/>
      <c r="T117" s="446"/>
      <c r="U117" s="446"/>
      <c r="V117" s="446"/>
    </row>
    <row r="118" ht="23.25" customHeight="1">
      <c r="A118" s="446"/>
      <c r="B118" s="446"/>
      <c r="C118" s="446"/>
      <c r="D118" s="446"/>
      <c r="E118" s="446"/>
      <c r="F118" s="446"/>
      <c r="G118" s="446"/>
      <c r="H118" s="446"/>
      <c r="I118" s="446"/>
      <c r="J118" s="446"/>
      <c r="K118" s="446"/>
      <c r="L118" s="446"/>
      <c r="M118" s="446"/>
      <c r="N118" s="446"/>
      <c r="O118" s="446"/>
      <c r="P118" s="446"/>
      <c r="Q118" s="446"/>
      <c r="R118" s="446"/>
      <c r="S118" s="446"/>
      <c r="T118" s="446"/>
      <c r="U118" s="446"/>
      <c r="V118" s="446"/>
    </row>
    <row r="119" ht="23.25" customHeight="1">
      <c r="A119" s="446"/>
      <c r="B119" s="446"/>
      <c r="C119" s="446"/>
      <c r="D119" s="446"/>
      <c r="E119" s="446"/>
      <c r="F119" s="446"/>
      <c r="G119" s="446"/>
      <c r="H119" s="446"/>
      <c r="I119" s="446"/>
      <c r="J119" s="446"/>
      <c r="K119" s="446"/>
      <c r="L119" s="446"/>
      <c r="M119" s="446"/>
      <c r="N119" s="446"/>
      <c r="O119" s="446"/>
      <c r="P119" s="446"/>
      <c r="Q119" s="446"/>
      <c r="R119" s="446"/>
      <c r="S119" s="446"/>
      <c r="T119" s="446"/>
      <c r="U119" s="446"/>
      <c r="V119" s="446"/>
    </row>
    <row r="120" ht="23.25" customHeight="1">
      <c r="A120" s="446"/>
      <c r="B120" s="446"/>
      <c r="C120" s="446"/>
      <c r="D120" s="446"/>
      <c r="E120" s="446"/>
      <c r="F120" s="446"/>
      <c r="G120" s="446"/>
      <c r="H120" s="446"/>
      <c r="I120" s="446"/>
      <c r="J120" s="446"/>
      <c r="K120" s="446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46"/>
    </row>
    <row r="121" ht="23.25" customHeight="1">
      <c r="A121" s="446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446"/>
      <c r="T121" s="446"/>
      <c r="U121" s="446"/>
      <c r="V121" s="446"/>
    </row>
    <row r="122" ht="23.25" customHeight="1">
      <c r="A122" s="446"/>
      <c r="B122" s="446"/>
      <c r="C122" s="446"/>
      <c r="D122" s="446"/>
      <c r="E122" s="446"/>
      <c r="F122" s="446"/>
      <c r="G122" s="446"/>
      <c r="H122" s="446"/>
      <c r="I122" s="446"/>
      <c r="J122" s="446"/>
      <c r="K122" s="446"/>
      <c r="L122" s="446"/>
      <c r="M122" s="446"/>
      <c r="N122" s="446"/>
      <c r="O122" s="446"/>
      <c r="P122" s="446"/>
      <c r="Q122" s="446"/>
      <c r="R122" s="446"/>
      <c r="S122" s="446"/>
      <c r="T122" s="446"/>
      <c r="U122" s="446"/>
      <c r="V122" s="446"/>
    </row>
    <row r="123" ht="23.25" customHeight="1">
      <c r="A123" s="446"/>
      <c r="B123" s="446"/>
      <c r="C123" s="446"/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</row>
    <row r="124" ht="23.25" customHeight="1">
      <c r="A124" s="446"/>
      <c r="B124" s="446"/>
      <c r="C124" s="446"/>
      <c r="D124" s="446"/>
      <c r="E124" s="446"/>
      <c r="F124" s="446"/>
      <c r="G124" s="446"/>
      <c r="H124" s="446"/>
      <c r="I124" s="446"/>
      <c r="J124" s="446"/>
      <c r="K124" s="446"/>
      <c r="L124" s="446"/>
      <c r="M124" s="446"/>
      <c r="N124" s="446"/>
      <c r="O124" s="446"/>
      <c r="P124" s="446"/>
      <c r="Q124" s="446"/>
      <c r="R124" s="446"/>
      <c r="S124" s="446"/>
      <c r="T124" s="446"/>
      <c r="U124" s="446"/>
      <c r="V124" s="446"/>
    </row>
    <row r="125" ht="23.25" customHeight="1">
      <c r="A125" s="446"/>
      <c r="B125" s="446"/>
      <c r="C125" s="446"/>
      <c r="D125" s="446"/>
      <c r="E125" s="446"/>
      <c r="F125" s="446"/>
      <c r="G125" s="446"/>
      <c r="H125" s="446"/>
      <c r="I125" s="446"/>
      <c r="J125" s="446"/>
      <c r="K125" s="446"/>
      <c r="L125" s="446"/>
      <c r="M125" s="446"/>
      <c r="N125" s="446"/>
      <c r="O125" s="446"/>
      <c r="P125" s="446"/>
      <c r="Q125" s="446"/>
      <c r="R125" s="446"/>
      <c r="S125" s="446"/>
      <c r="T125" s="446"/>
      <c r="U125" s="446"/>
      <c r="V125" s="446"/>
    </row>
    <row r="126" ht="23.25" customHeight="1">
      <c r="A126" s="446"/>
      <c r="B126" s="446"/>
      <c r="C126" s="446"/>
      <c r="D126" s="446"/>
      <c r="E126" s="446"/>
      <c r="F126" s="446"/>
      <c r="G126" s="446"/>
      <c r="H126" s="446"/>
      <c r="I126" s="446"/>
      <c r="J126" s="446"/>
      <c r="K126" s="446"/>
      <c r="L126" s="446"/>
      <c r="M126" s="446"/>
      <c r="N126" s="446"/>
      <c r="O126" s="446"/>
      <c r="P126" s="446"/>
      <c r="Q126" s="446"/>
      <c r="R126" s="446"/>
      <c r="S126" s="446"/>
      <c r="T126" s="446"/>
      <c r="U126" s="446"/>
      <c r="V126" s="446"/>
    </row>
    <row r="127" ht="23.25" customHeight="1">
      <c r="A127" s="446"/>
      <c r="B127" s="446"/>
      <c r="C127" s="446"/>
      <c r="D127" s="446"/>
      <c r="E127" s="446"/>
      <c r="F127" s="446"/>
      <c r="G127" s="446"/>
      <c r="H127" s="446"/>
      <c r="I127" s="446"/>
      <c r="J127" s="446"/>
      <c r="K127" s="446"/>
      <c r="L127" s="446"/>
      <c r="M127" s="446"/>
      <c r="N127" s="446"/>
      <c r="O127" s="446"/>
      <c r="P127" s="446"/>
      <c r="Q127" s="446"/>
      <c r="R127" s="446"/>
      <c r="S127" s="446"/>
      <c r="T127" s="446"/>
      <c r="U127" s="446"/>
      <c r="V127" s="446"/>
    </row>
    <row r="128" ht="23.25" customHeight="1">
      <c r="A128" s="446"/>
      <c r="B128" s="446"/>
      <c r="C128" s="446"/>
      <c r="D128" s="446"/>
      <c r="E128" s="446"/>
      <c r="F128" s="446"/>
      <c r="G128" s="446"/>
      <c r="H128" s="446"/>
      <c r="I128" s="446"/>
      <c r="J128" s="446"/>
      <c r="K128" s="446"/>
      <c r="L128" s="446"/>
      <c r="M128" s="446"/>
      <c r="N128" s="446"/>
      <c r="O128" s="446"/>
      <c r="P128" s="446"/>
      <c r="Q128" s="446"/>
      <c r="R128" s="446"/>
      <c r="S128" s="446"/>
      <c r="T128" s="446"/>
      <c r="U128" s="446"/>
      <c r="V128" s="446"/>
    </row>
    <row r="129" ht="23.25" customHeight="1">
      <c r="A129" s="446"/>
      <c r="B129" s="446"/>
      <c r="C129" s="446"/>
      <c r="D129" s="446"/>
      <c r="E129" s="446"/>
      <c r="F129" s="446"/>
      <c r="G129" s="446"/>
      <c r="H129" s="446"/>
      <c r="I129" s="446"/>
      <c r="J129" s="446"/>
      <c r="K129" s="446"/>
      <c r="L129" s="446"/>
      <c r="M129" s="446"/>
      <c r="N129" s="446"/>
      <c r="O129" s="446"/>
      <c r="P129" s="446"/>
      <c r="Q129" s="446"/>
      <c r="R129" s="446"/>
      <c r="S129" s="446"/>
      <c r="T129" s="446"/>
      <c r="U129" s="446"/>
      <c r="V129" s="446"/>
    </row>
    <row r="130" ht="23.25" customHeight="1">
      <c r="A130" s="446"/>
      <c r="B130" s="446"/>
      <c r="C130" s="446"/>
      <c r="D130" s="446"/>
      <c r="E130" s="446"/>
      <c r="F130" s="446"/>
      <c r="G130" s="446"/>
      <c r="H130" s="446"/>
      <c r="I130" s="446"/>
      <c r="J130" s="446"/>
      <c r="K130" s="446"/>
      <c r="L130" s="446"/>
      <c r="M130" s="446"/>
      <c r="N130" s="446"/>
      <c r="O130" s="446"/>
      <c r="P130" s="446"/>
      <c r="Q130" s="446"/>
      <c r="R130" s="446"/>
      <c r="S130" s="446"/>
      <c r="T130" s="446"/>
      <c r="U130" s="446"/>
      <c r="V130" s="446"/>
    </row>
    <row r="131" ht="23.25" customHeight="1">
      <c r="A131" s="446"/>
      <c r="B131" s="446"/>
      <c r="C131" s="446"/>
      <c r="D131" s="446"/>
      <c r="E131" s="446"/>
      <c r="F131" s="446"/>
      <c r="G131" s="446"/>
      <c r="H131" s="446"/>
      <c r="I131" s="446"/>
      <c r="J131" s="446"/>
      <c r="K131" s="446"/>
      <c r="L131" s="446"/>
      <c r="M131" s="446"/>
      <c r="N131" s="446"/>
      <c r="O131" s="446"/>
      <c r="P131" s="446"/>
      <c r="Q131" s="446"/>
      <c r="R131" s="446"/>
      <c r="S131" s="446"/>
      <c r="T131" s="446"/>
      <c r="U131" s="446"/>
      <c r="V131" s="446"/>
    </row>
    <row r="132" ht="23.25" customHeight="1">
      <c r="A132" s="446"/>
      <c r="B132" s="446"/>
      <c r="C132" s="446"/>
      <c r="D132" s="446"/>
      <c r="E132" s="446"/>
      <c r="F132" s="446"/>
      <c r="G132" s="446"/>
      <c r="H132" s="446"/>
      <c r="I132" s="446"/>
      <c r="J132" s="446"/>
      <c r="K132" s="446"/>
      <c r="L132" s="446"/>
      <c r="M132" s="446"/>
      <c r="N132" s="446"/>
      <c r="O132" s="446"/>
      <c r="P132" s="446"/>
      <c r="Q132" s="446"/>
      <c r="R132" s="446"/>
      <c r="S132" s="446"/>
      <c r="T132" s="446"/>
      <c r="U132" s="446"/>
      <c r="V132" s="446"/>
    </row>
    <row r="133" ht="23.25" customHeight="1">
      <c r="A133" s="446"/>
      <c r="B133" s="446"/>
      <c r="C133" s="446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6"/>
      <c r="R133" s="446"/>
      <c r="S133" s="446"/>
      <c r="T133" s="446"/>
      <c r="U133" s="446"/>
      <c r="V133" s="446"/>
    </row>
    <row r="134" ht="23.25" customHeight="1">
      <c r="A134" s="446"/>
      <c r="B134" s="446"/>
      <c r="C134" s="446"/>
      <c r="D134" s="446"/>
      <c r="E134" s="446"/>
      <c r="F134" s="446"/>
      <c r="G134" s="446"/>
      <c r="H134" s="446"/>
      <c r="I134" s="446"/>
      <c r="J134" s="446"/>
      <c r="K134" s="446"/>
      <c r="L134" s="446"/>
      <c r="M134" s="446"/>
      <c r="N134" s="446"/>
      <c r="O134" s="446"/>
      <c r="P134" s="446"/>
      <c r="Q134" s="446"/>
      <c r="R134" s="446"/>
      <c r="S134" s="446"/>
      <c r="T134" s="446"/>
      <c r="U134" s="446"/>
      <c r="V134" s="446"/>
    </row>
    <row r="135" ht="23.25" customHeight="1">
      <c r="A135" s="446"/>
      <c r="B135" s="446"/>
      <c r="C135" s="446"/>
      <c r="D135" s="446"/>
      <c r="E135" s="446"/>
      <c r="F135" s="446"/>
      <c r="G135" s="446"/>
      <c r="H135" s="446"/>
      <c r="I135" s="446"/>
      <c r="J135" s="446"/>
      <c r="K135" s="446"/>
      <c r="L135" s="446"/>
      <c r="M135" s="446"/>
      <c r="N135" s="446"/>
      <c r="O135" s="446"/>
      <c r="P135" s="446"/>
      <c r="Q135" s="446"/>
      <c r="R135" s="446"/>
      <c r="S135" s="446"/>
      <c r="T135" s="446"/>
      <c r="U135" s="446"/>
      <c r="V135" s="446"/>
    </row>
    <row r="136" ht="23.25" customHeight="1">
      <c r="A136" s="446"/>
      <c r="B136" s="446"/>
      <c r="C136" s="446"/>
      <c r="D136" s="446"/>
      <c r="E136" s="446"/>
      <c r="F136" s="446"/>
      <c r="G136" s="446"/>
      <c r="H136" s="446"/>
      <c r="I136" s="446"/>
      <c r="J136" s="446"/>
      <c r="K136" s="446"/>
      <c r="L136" s="446"/>
      <c r="M136" s="446"/>
      <c r="N136" s="446"/>
      <c r="O136" s="446"/>
      <c r="P136" s="446"/>
      <c r="Q136" s="446"/>
      <c r="R136" s="446"/>
      <c r="S136" s="446"/>
      <c r="T136" s="446"/>
      <c r="U136" s="446"/>
      <c r="V136" s="446"/>
    </row>
    <row r="137" ht="23.25" customHeight="1">
      <c r="A137" s="446"/>
      <c r="B137" s="446"/>
      <c r="C137" s="446"/>
      <c r="D137" s="446"/>
      <c r="E137" s="446"/>
      <c r="F137" s="446"/>
      <c r="G137" s="446"/>
      <c r="H137" s="446"/>
      <c r="I137" s="446"/>
      <c r="J137" s="446"/>
      <c r="K137" s="446"/>
      <c r="L137" s="446"/>
      <c r="M137" s="446"/>
      <c r="N137" s="446"/>
      <c r="O137" s="446"/>
      <c r="P137" s="446"/>
      <c r="Q137" s="446"/>
      <c r="R137" s="446"/>
      <c r="S137" s="446"/>
      <c r="T137" s="446"/>
      <c r="U137" s="446"/>
      <c r="V137" s="446"/>
    </row>
    <row r="138" ht="23.25" customHeight="1">
      <c r="A138" s="446"/>
      <c r="B138" s="446"/>
      <c r="C138" s="446"/>
      <c r="D138" s="446"/>
      <c r="E138" s="446"/>
      <c r="F138" s="446"/>
      <c r="G138" s="446"/>
      <c r="H138" s="446"/>
      <c r="I138" s="446"/>
      <c r="J138" s="446"/>
      <c r="K138" s="446"/>
      <c r="L138" s="446"/>
      <c r="M138" s="446"/>
      <c r="N138" s="446"/>
      <c r="O138" s="446"/>
      <c r="P138" s="446"/>
      <c r="Q138" s="446"/>
      <c r="R138" s="446"/>
      <c r="S138" s="446"/>
      <c r="T138" s="446"/>
      <c r="U138" s="446"/>
      <c r="V138" s="446"/>
    </row>
    <row r="139" ht="23.25" customHeight="1">
      <c r="A139" s="446"/>
      <c r="B139" s="446"/>
      <c r="C139" s="446"/>
      <c r="D139" s="446"/>
      <c r="E139" s="446"/>
      <c r="F139" s="446"/>
      <c r="G139" s="446"/>
      <c r="H139" s="446"/>
      <c r="I139" s="446"/>
      <c r="J139" s="446"/>
      <c r="K139" s="446"/>
      <c r="L139" s="446"/>
      <c r="M139" s="446"/>
      <c r="N139" s="446"/>
      <c r="O139" s="446"/>
      <c r="P139" s="446"/>
      <c r="Q139" s="446"/>
      <c r="R139" s="446"/>
      <c r="S139" s="446"/>
      <c r="T139" s="446"/>
      <c r="U139" s="446"/>
      <c r="V139" s="446"/>
    </row>
    <row r="140" ht="23.25" customHeight="1">
      <c r="A140" s="446"/>
      <c r="B140" s="446"/>
      <c r="C140" s="446"/>
      <c r="D140" s="446"/>
      <c r="E140" s="446"/>
      <c r="F140" s="446"/>
      <c r="G140" s="446"/>
      <c r="H140" s="446"/>
      <c r="I140" s="446"/>
      <c r="J140" s="446"/>
      <c r="K140" s="446"/>
      <c r="L140" s="446"/>
      <c r="M140" s="446"/>
      <c r="N140" s="446"/>
      <c r="O140" s="446"/>
      <c r="P140" s="446"/>
      <c r="Q140" s="446"/>
      <c r="R140" s="446"/>
      <c r="S140" s="446"/>
      <c r="T140" s="446"/>
      <c r="U140" s="446"/>
      <c r="V140" s="446"/>
    </row>
    <row r="141" ht="23.25" customHeight="1">
      <c r="A141" s="446"/>
      <c r="B141" s="446"/>
      <c r="C141" s="446"/>
      <c r="D141" s="446"/>
      <c r="E141" s="446"/>
      <c r="F141" s="446"/>
      <c r="G141" s="446"/>
      <c r="H141" s="446"/>
      <c r="I141" s="446"/>
      <c r="J141" s="446"/>
      <c r="K141" s="446"/>
      <c r="L141" s="446"/>
      <c r="M141" s="446"/>
      <c r="N141" s="446"/>
      <c r="O141" s="446"/>
      <c r="P141" s="446"/>
      <c r="Q141" s="446"/>
      <c r="R141" s="446"/>
      <c r="S141" s="446"/>
      <c r="T141" s="446"/>
      <c r="U141" s="446"/>
      <c r="V141" s="446"/>
    </row>
    <row r="142" ht="23.25" customHeight="1">
      <c r="A142" s="446"/>
      <c r="B142" s="446"/>
      <c r="C142" s="446"/>
      <c r="D142" s="446"/>
      <c r="E142" s="446"/>
      <c r="F142" s="446"/>
      <c r="G142" s="446"/>
      <c r="H142" s="446"/>
      <c r="I142" s="446"/>
      <c r="J142" s="446"/>
      <c r="K142" s="446"/>
      <c r="L142" s="446"/>
      <c r="M142" s="446"/>
      <c r="N142" s="446"/>
      <c r="O142" s="446"/>
      <c r="P142" s="446"/>
      <c r="Q142" s="446"/>
      <c r="R142" s="446"/>
      <c r="S142" s="446"/>
      <c r="T142" s="446"/>
      <c r="U142" s="446"/>
      <c r="V142" s="446"/>
    </row>
    <row r="143" ht="23.25" customHeight="1">
      <c r="A143" s="446"/>
      <c r="B143" s="446"/>
      <c r="C143" s="446"/>
      <c r="D143" s="446"/>
      <c r="E143" s="446"/>
      <c r="F143" s="446"/>
      <c r="G143" s="446"/>
      <c r="H143" s="446"/>
      <c r="I143" s="446"/>
      <c r="J143" s="446"/>
      <c r="K143" s="446"/>
      <c r="L143" s="446"/>
      <c r="M143" s="446"/>
      <c r="N143" s="446"/>
      <c r="O143" s="446"/>
      <c r="P143" s="446"/>
      <c r="Q143" s="446"/>
      <c r="R143" s="446"/>
      <c r="S143" s="446"/>
      <c r="T143" s="446"/>
      <c r="U143" s="446"/>
      <c r="V143" s="446"/>
    </row>
    <row r="144" ht="23.25" customHeight="1">
      <c r="A144" s="446"/>
      <c r="B144" s="446"/>
      <c r="C144" s="446"/>
      <c r="D144" s="446"/>
      <c r="E144" s="446"/>
      <c r="F144" s="446"/>
      <c r="G144" s="446"/>
      <c r="H144" s="446"/>
      <c r="I144" s="446"/>
      <c r="J144" s="446"/>
      <c r="K144" s="446"/>
      <c r="L144" s="446"/>
      <c r="M144" s="446"/>
      <c r="N144" s="446"/>
      <c r="O144" s="446"/>
      <c r="P144" s="446"/>
      <c r="Q144" s="446"/>
      <c r="R144" s="446"/>
      <c r="S144" s="446"/>
      <c r="T144" s="446"/>
      <c r="U144" s="446"/>
      <c r="V144" s="446"/>
    </row>
    <row r="145" ht="23.25" customHeight="1">
      <c r="A145" s="446"/>
      <c r="B145" s="446"/>
      <c r="C145" s="446"/>
      <c r="D145" s="446"/>
      <c r="E145" s="446"/>
      <c r="F145" s="446"/>
      <c r="G145" s="446"/>
      <c r="H145" s="446"/>
      <c r="I145" s="446"/>
      <c r="J145" s="446"/>
      <c r="K145" s="446"/>
      <c r="L145" s="446"/>
      <c r="M145" s="446"/>
      <c r="N145" s="446"/>
      <c r="O145" s="446"/>
      <c r="P145" s="446"/>
      <c r="Q145" s="446"/>
      <c r="R145" s="446"/>
      <c r="S145" s="446"/>
      <c r="T145" s="446"/>
      <c r="U145" s="446"/>
      <c r="V145" s="446"/>
    </row>
    <row r="146" ht="23.25" customHeight="1">
      <c r="A146" s="446"/>
      <c r="B146" s="446"/>
      <c r="C146" s="446"/>
      <c r="D146" s="446"/>
      <c r="E146" s="446"/>
      <c r="F146" s="446"/>
      <c r="G146" s="446"/>
      <c r="H146" s="446"/>
      <c r="I146" s="446"/>
      <c r="J146" s="446"/>
      <c r="K146" s="446"/>
      <c r="L146" s="446"/>
      <c r="M146" s="446"/>
      <c r="N146" s="446"/>
      <c r="O146" s="446"/>
      <c r="P146" s="446"/>
      <c r="Q146" s="446"/>
      <c r="R146" s="446"/>
      <c r="S146" s="446"/>
      <c r="T146" s="446"/>
      <c r="U146" s="446"/>
      <c r="V146" s="446"/>
    </row>
    <row r="147" ht="23.25" customHeight="1">
      <c r="A147" s="446"/>
      <c r="B147" s="446"/>
      <c r="C147" s="446"/>
      <c r="D147" s="446"/>
      <c r="E147" s="446"/>
      <c r="F147" s="446"/>
      <c r="G147" s="446"/>
      <c r="H147" s="446"/>
      <c r="I147" s="446"/>
      <c r="J147" s="446"/>
      <c r="K147" s="446"/>
      <c r="L147" s="446"/>
      <c r="M147" s="446"/>
      <c r="N147" s="446"/>
      <c r="O147" s="446"/>
      <c r="P147" s="446"/>
      <c r="Q147" s="446"/>
      <c r="R147" s="446"/>
      <c r="S147" s="446"/>
      <c r="T147" s="446"/>
      <c r="U147" s="446"/>
      <c r="V147" s="446"/>
    </row>
    <row r="148" ht="23.25" customHeight="1">
      <c r="A148" s="446"/>
      <c r="B148" s="446"/>
      <c r="C148" s="446"/>
      <c r="D148" s="446"/>
      <c r="E148" s="446"/>
      <c r="F148" s="446"/>
      <c r="G148" s="446"/>
      <c r="H148" s="446"/>
      <c r="I148" s="446"/>
      <c r="J148" s="446"/>
      <c r="K148" s="446"/>
      <c r="L148" s="446"/>
      <c r="M148" s="446"/>
      <c r="N148" s="446"/>
      <c r="O148" s="446"/>
      <c r="P148" s="446"/>
      <c r="Q148" s="446"/>
      <c r="R148" s="446"/>
      <c r="S148" s="446"/>
      <c r="T148" s="446"/>
      <c r="U148" s="446"/>
      <c r="V148" s="446"/>
    </row>
    <row r="149" ht="23.25" customHeight="1">
      <c r="A149" s="446"/>
      <c r="B149" s="446"/>
      <c r="C149" s="446"/>
      <c r="D149" s="446"/>
      <c r="E149" s="446"/>
      <c r="F149" s="446"/>
      <c r="G149" s="446"/>
      <c r="H149" s="446"/>
      <c r="I149" s="446"/>
      <c r="J149" s="446"/>
      <c r="K149" s="446"/>
      <c r="L149" s="446"/>
      <c r="M149" s="446"/>
      <c r="N149" s="446"/>
      <c r="O149" s="446"/>
      <c r="P149" s="446"/>
      <c r="Q149" s="446"/>
      <c r="R149" s="446"/>
      <c r="S149" s="446"/>
      <c r="T149" s="446"/>
      <c r="U149" s="446"/>
      <c r="V149" s="446"/>
    </row>
    <row r="150" ht="23.25" customHeight="1">
      <c r="A150" s="446"/>
      <c r="B150" s="446"/>
      <c r="C150" s="446"/>
      <c r="D150" s="446"/>
      <c r="E150" s="446"/>
      <c r="F150" s="446"/>
      <c r="G150" s="446"/>
      <c r="H150" s="446"/>
      <c r="I150" s="446"/>
      <c r="J150" s="446"/>
      <c r="K150" s="446"/>
      <c r="L150" s="446"/>
      <c r="M150" s="446"/>
      <c r="N150" s="446"/>
      <c r="O150" s="446"/>
      <c r="P150" s="446"/>
      <c r="Q150" s="446"/>
      <c r="R150" s="446"/>
      <c r="S150" s="446"/>
      <c r="T150" s="446"/>
      <c r="U150" s="446"/>
      <c r="V150" s="446"/>
    </row>
    <row r="151" ht="23.25" customHeight="1">
      <c r="A151" s="446"/>
      <c r="B151" s="446"/>
      <c r="C151" s="446"/>
      <c r="D151" s="446"/>
      <c r="E151" s="446"/>
      <c r="F151" s="446"/>
      <c r="G151" s="446"/>
      <c r="H151" s="446"/>
      <c r="I151" s="446"/>
      <c r="J151" s="446"/>
      <c r="K151" s="446"/>
      <c r="L151" s="446"/>
      <c r="M151" s="446"/>
      <c r="N151" s="446"/>
      <c r="O151" s="446"/>
      <c r="P151" s="446"/>
      <c r="Q151" s="446"/>
      <c r="R151" s="446"/>
      <c r="S151" s="446"/>
      <c r="T151" s="446"/>
      <c r="U151" s="446"/>
      <c r="V151" s="446"/>
    </row>
    <row r="152" ht="23.25" customHeight="1">
      <c r="A152" s="446"/>
      <c r="B152" s="446"/>
      <c r="C152" s="446"/>
      <c r="D152" s="446"/>
      <c r="E152" s="446"/>
      <c r="F152" s="446"/>
      <c r="G152" s="446"/>
      <c r="H152" s="446"/>
      <c r="I152" s="446"/>
      <c r="J152" s="446"/>
      <c r="K152" s="446"/>
      <c r="L152" s="446"/>
      <c r="M152" s="446"/>
      <c r="N152" s="446"/>
      <c r="O152" s="446"/>
      <c r="P152" s="446"/>
      <c r="Q152" s="446"/>
      <c r="R152" s="446"/>
      <c r="S152" s="446"/>
      <c r="T152" s="446"/>
      <c r="U152" s="446"/>
      <c r="V152" s="446"/>
    </row>
    <row r="153" ht="23.25" customHeight="1">
      <c r="A153" s="446"/>
      <c r="B153" s="446"/>
      <c r="C153" s="446"/>
      <c r="D153" s="446"/>
      <c r="E153" s="446"/>
      <c r="F153" s="446"/>
      <c r="G153" s="446"/>
      <c r="H153" s="446"/>
      <c r="I153" s="446"/>
      <c r="J153" s="446"/>
      <c r="K153" s="446"/>
      <c r="L153" s="446"/>
      <c r="M153" s="446"/>
      <c r="N153" s="446"/>
      <c r="O153" s="446"/>
      <c r="P153" s="446"/>
      <c r="Q153" s="446"/>
      <c r="R153" s="446"/>
      <c r="S153" s="446"/>
      <c r="T153" s="446"/>
      <c r="U153" s="446"/>
      <c r="V153" s="446"/>
    </row>
    <row r="154" ht="23.25" customHeight="1">
      <c r="A154" s="446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446"/>
      <c r="T154" s="446"/>
      <c r="U154" s="446"/>
      <c r="V154" s="446"/>
    </row>
    <row r="155" ht="23.25" customHeight="1">
      <c r="A155" s="446"/>
      <c r="B155" s="446"/>
      <c r="C155" s="446"/>
      <c r="D155" s="446"/>
      <c r="E155" s="446"/>
      <c r="F155" s="446"/>
      <c r="G155" s="446"/>
      <c r="H155" s="446"/>
      <c r="I155" s="446"/>
      <c r="J155" s="446"/>
      <c r="K155" s="446"/>
      <c r="L155" s="446"/>
      <c r="M155" s="446"/>
      <c r="N155" s="446"/>
      <c r="O155" s="446"/>
      <c r="P155" s="446"/>
      <c r="Q155" s="446"/>
      <c r="R155" s="446"/>
      <c r="S155" s="446"/>
      <c r="T155" s="446"/>
      <c r="U155" s="446"/>
      <c r="V155" s="446"/>
    </row>
    <row r="156" ht="23.25" customHeight="1">
      <c r="A156" s="446"/>
      <c r="B156" s="446"/>
      <c r="C156" s="446"/>
      <c r="D156" s="446"/>
      <c r="E156" s="446"/>
      <c r="F156" s="446"/>
      <c r="G156" s="446"/>
      <c r="H156" s="446"/>
      <c r="I156" s="446"/>
      <c r="J156" s="446"/>
      <c r="K156" s="446"/>
      <c r="L156" s="446"/>
      <c r="M156" s="446"/>
      <c r="N156" s="446"/>
      <c r="O156" s="446"/>
      <c r="P156" s="446"/>
      <c r="Q156" s="446"/>
      <c r="R156" s="446"/>
      <c r="S156" s="446"/>
      <c r="T156" s="446"/>
      <c r="U156" s="446"/>
      <c r="V156" s="446"/>
    </row>
    <row r="157" ht="23.25" customHeight="1">
      <c r="A157" s="446"/>
      <c r="B157" s="446"/>
      <c r="C157" s="446"/>
      <c r="D157" s="446"/>
      <c r="E157" s="446"/>
      <c r="F157" s="446"/>
      <c r="G157" s="446"/>
      <c r="H157" s="446"/>
      <c r="I157" s="446"/>
      <c r="J157" s="446"/>
      <c r="K157" s="446"/>
      <c r="L157" s="446"/>
      <c r="M157" s="446"/>
      <c r="N157" s="446"/>
      <c r="O157" s="446"/>
      <c r="P157" s="446"/>
      <c r="Q157" s="446"/>
      <c r="R157" s="446"/>
      <c r="S157" s="446"/>
      <c r="T157" s="446"/>
      <c r="U157" s="446"/>
      <c r="V157" s="446"/>
    </row>
    <row r="158" ht="23.25" customHeight="1">
      <c r="A158" s="446"/>
      <c r="B158" s="446"/>
      <c r="C158" s="446"/>
      <c r="D158" s="446"/>
      <c r="E158" s="446"/>
      <c r="F158" s="446"/>
      <c r="G158" s="446"/>
      <c r="H158" s="446"/>
      <c r="I158" s="446"/>
      <c r="J158" s="446"/>
      <c r="K158" s="446"/>
      <c r="L158" s="446"/>
      <c r="M158" s="446"/>
      <c r="N158" s="446"/>
      <c r="O158" s="446"/>
      <c r="P158" s="446"/>
      <c r="Q158" s="446"/>
      <c r="R158" s="446"/>
      <c r="S158" s="446"/>
      <c r="T158" s="446"/>
      <c r="U158" s="446"/>
      <c r="V158" s="446"/>
    </row>
    <row r="159" ht="23.25" customHeight="1">
      <c r="A159" s="446"/>
      <c r="B159" s="446"/>
      <c r="C159" s="446"/>
      <c r="D159" s="446"/>
      <c r="E159" s="446"/>
      <c r="F159" s="446"/>
      <c r="G159" s="446"/>
      <c r="H159" s="446"/>
      <c r="I159" s="446"/>
      <c r="J159" s="446"/>
      <c r="K159" s="446"/>
      <c r="L159" s="446"/>
      <c r="M159" s="446"/>
      <c r="N159" s="446"/>
      <c r="O159" s="446"/>
      <c r="P159" s="446"/>
      <c r="Q159" s="446"/>
      <c r="R159" s="446"/>
      <c r="S159" s="446"/>
      <c r="T159" s="446"/>
      <c r="U159" s="446"/>
      <c r="V159" s="446"/>
    </row>
    <row r="160" ht="23.25" customHeight="1">
      <c r="A160" s="446"/>
      <c r="B160" s="446"/>
      <c r="C160" s="446"/>
      <c r="D160" s="446"/>
      <c r="E160" s="446"/>
      <c r="F160" s="446"/>
      <c r="G160" s="446"/>
      <c r="H160" s="446"/>
      <c r="I160" s="446"/>
      <c r="J160" s="446"/>
      <c r="K160" s="446"/>
      <c r="L160" s="446"/>
      <c r="M160" s="446"/>
      <c r="N160" s="446"/>
      <c r="O160" s="446"/>
      <c r="P160" s="446"/>
      <c r="Q160" s="446"/>
      <c r="R160" s="446"/>
      <c r="S160" s="446"/>
      <c r="T160" s="446"/>
      <c r="U160" s="446"/>
      <c r="V160" s="446"/>
    </row>
    <row r="161" ht="23.25" customHeight="1">
      <c r="A161" s="446"/>
      <c r="B161" s="446"/>
      <c r="C161" s="446"/>
      <c r="D161" s="446"/>
      <c r="E161" s="446"/>
      <c r="F161" s="446"/>
      <c r="G161" s="446"/>
      <c r="H161" s="446"/>
      <c r="I161" s="446"/>
      <c r="J161" s="446"/>
      <c r="K161" s="446"/>
      <c r="L161" s="446"/>
      <c r="M161" s="446"/>
      <c r="N161" s="446"/>
      <c r="O161" s="446"/>
      <c r="P161" s="446"/>
      <c r="Q161" s="446"/>
      <c r="R161" s="446"/>
      <c r="S161" s="446"/>
      <c r="T161" s="446"/>
      <c r="U161" s="446"/>
      <c r="V161" s="446"/>
    </row>
    <row r="162" ht="23.25" customHeight="1">
      <c r="A162" s="446"/>
      <c r="B162" s="446"/>
      <c r="C162" s="446"/>
      <c r="D162" s="446"/>
      <c r="E162" s="446"/>
      <c r="F162" s="446"/>
      <c r="G162" s="446"/>
      <c r="H162" s="446"/>
      <c r="I162" s="446"/>
      <c r="J162" s="446"/>
      <c r="K162" s="446"/>
      <c r="L162" s="446"/>
      <c r="M162" s="446"/>
      <c r="N162" s="446"/>
      <c r="O162" s="446"/>
      <c r="P162" s="446"/>
      <c r="Q162" s="446"/>
      <c r="R162" s="446"/>
      <c r="S162" s="446"/>
      <c r="T162" s="446"/>
      <c r="U162" s="446"/>
      <c r="V162" s="446"/>
    </row>
    <row r="163" ht="23.25" customHeight="1">
      <c r="A163" s="446"/>
      <c r="B163" s="446"/>
      <c r="C163" s="446"/>
      <c r="D163" s="446"/>
      <c r="E163" s="446"/>
      <c r="F163" s="446"/>
      <c r="G163" s="446"/>
      <c r="H163" s="446"/>
      <c r="I163" s="446"/>
      <c r="J163" s="446"/>
      <c r="K163" s="446"/>
      <c r="L163" s="446"/>
      <c r="M163" s="446"/>
      <c r="N163" s="446"/>
      <c r="O163" s="446"/>
      <c r="P163" s="446"/>
      <c r="Q163" s="446"/>
      <c r="R163" s="446"/>
      <c r="S163" s="446"/>
      <c r="T163" s="446"/>
      <c r="U163" s="446"/>
      <c r="V163" s="446"/>
    </row>
    <row r="164" ht="23.25" customHeight="1">
      <c r="A164" s="446"/>
      <c r="B164" s="446"/>
      <c r="C164" s="446"/>
      <c r="D164" s="446"/>
      <c r="E164" s="446"/>
      <c r="F164" s="446"/>
      <c r="G164" s="446"/>
      <c r="H164" s="446"/>
      <c r="I164" s="446"/>
      <c r="J164" s="446"/>
      <c r="K164" s="446"/>
      <c r="L164" s="446"/>
      <c r="M164" s="446"/>
      <c r="N164" s="446"/>
      <c r="O164" s="446"/>
      <c r="P164" s="446"/>
      <c r="Q164" s="446"/>
      <c r="R164" s="446"/>
      <c r="S164" s="446"/>
      <c r="T164" s="446"/>
      <c r="U164" s="446"/>
      <c r="V164" s="446"/>
    </row>
    <row r="165" ht="23.25" customHeight="1">
      <c r="A165" s="446"/>
      <c r="B165" s="446"/>
      <c r="C165" s="446"/>
      <c r="D165" s="446"/>
      <c r="E165" s="446"/>
      <c r="F165" s="446"/>
      <c r="G165" s="446"/>
      <c r="H165" s="446"/>
      <c r="I165" s="446"/>
      <c r="J165" s="446"/>
      <c r="K165" s="446"/>
      <c r="L165" s="446"/>
      <c r="M165" s="446"/>
      <c r="N165" s="446"/>
      <c r="O165" s="446"/>
      <c r="P165" s="446"/>
      <c r="Q165" s="446"/>
      <c r="R165" s="446"/>
      <c r="S165" s="446"/>
      <c r="T165" s="446"/>
      <c r="U165" s="446"/>
      <c r="V165" s="446"/>
    </row>
    <row r="166" ht="23.25" customHeight="1">
      <c r="A166" s="446"/>
      <c r="B166" s="446"/>
      <c r="C166" s="446"/>
      <c r="D166" s="446"/>
      <c r="E166" s="446"/>
      <c r="F166" s="446"/>
      <c r="G166" s="446"/>
      <c r="H166" s="446"/>
      <c r="I166" s="446"/>
      <c r="J166" s="446"/>
      <c r="K166" s="446"/>
      <c r="L166" s="446"/>
      <c r="M166" s="446"/>
      <c r="N166" s="446"/>
      <c r="O166" s="446"/>
      <c r="P166" s="446"/>
      <c r="Q166" s="446"/>
      <c r="R166" s="446"/>
      <c r="S166" s="446"/>
      <c r="T166" s="446"/>
      <c r="U166" s="446"/>
      <c r="V166" s="446"/>
    </row>
    <row r="167" ht="23.25" customHeight="1">
      <c r="A167" s="446"/>
      <c r="B167" s="446"/>
      <c r="C167" s="446"/>
      <c r="D167" s="446"/>
      <c r="E167" s="446"/>
      <c r="F167" s="446"/>
      <c r="G167" s="446"/>
      <c r="H167" s="446"/>
      <c r="I167" s="446"/>
      <c r="J167" s="446"/>
      <c r="K167" s="446"/>
      <c r="L167" s="446"/>
      <c r="M167" s="446"/>
      <c r="N167" s="446"/>
      <c r="O167" s="446"/>
      <c r="P167" s="446"/>
      <c r="Q167" s="446"/>
      <c r="R167" s="446"/>
      <c r="S167" s="446"/>
      <c r="T167" s="446"/>
      <c r="U167" s="446"/>
      <c r="V167" s="446"/>
    </row>
    <row r="168" ht="23.25" customHeight="1">
      <c r="A168" s="446"/>
      <c r="B168" s="446"/>
      <c r="C168" s="446"/>
      <c r="D168" s="446"/>
      <c r="E168" s="446"/>
      <c r="F168" s="446"/>
      <c r="G168" s="446"/>
      <c r="H168" s="446"/>
      <c r="I168" s="446"/>
      <c r="J168" s="446"/>
      <c r="K168" s="446"/>
      <c r="L168" s="446"/>
      <c r="M168" s="446"/>
      <c r="N168" s="446"/>
      <c r="O168" s="446"/>
      <c r="P168" s="446"/>
      <c r="Q168" s="446"/>
      <c r="R168" s="446"/>
      <c r="S168" s="446"/>
      <c r="T168" s="446"/>
      <c r="U168" s="446"/>
      <c r="V168" s="446"/>
    </row>
    <row r="169" ht="23.25" customHeight="1">
      <c r="A169" s="446"/>
      <c r="B169" s="446"/>
      <c r="C169" s="446"/>
      <c r="D169" s="446"/>
      <c r="E169" s="446"/>
      <c r="F169" s="446"/>
      <c r="G169" s="446"/>
      <c r="H169" s="446"/>
      <c r="I169" s="446"/>
      <c r="J169" s="446"/>
      <c r="K169" s="446"/>
      <c r="L169" s="446"/>
      <c r="M169" s="446"/>
      <c r="N169" s="446"/>
      <c r="O169" s="446"/>
      <c r="P169" s="446"/>
      <c r="Q169" s="446"/>
      <c r="R169" s="446"/>
      <c r="S169" s="446"/>
      <c r="T169" s="446"/>
      <c r="U169" s="446"/>
      <c r="V169" s="446"/>
    </row>
    <row r="170" ht="23.25" customHeight="1">
      <c r="A170" s="446"/>
      <c r="B170" s="446"/>
      <c r="C170" s="446"/>
      <c r="D170" s="446"/>
      <c r="E170" s="446"/>
      <c r="F170" s="446"/>
      <c r="G170" s="446"/>
      <c r="H170" s="446"/>
      <c r="I170" s="446"/>
      <c r="J170" s="446"/>
      <c r="K170" s="446"/>
      <c r="L170" s="446"/>
      <c r="M170" s="446"/>
      <c r="N170" s="446"/>
      <c r="O170" s="446"/>
      <c r="P170" s="446"/>
      <c r="Q170" s="446"/>
      <c r="R170" s="446"/>
      <c r="S170" s="446"/>
      <c r="T170" s="446"/>
      <c r="U170" s="446"/>
      <c r="V170" s="446"/>
    </row>
    <row r="171" ht="23.25" customHeight="1">
      <c r="A171" s="446"/>
      <c r="B171" s="446"/>
      <c r="C171" s="446"/>
      <c r="D171" s="446"/>
      <c r="E171" s="446"/>
      <c r="F171" s="446"/>
      <c r="G171" s="446"/>
      <c r="H171" s="446"/>
      <c r="I171" s="446"/>
      <c r="J171" s="446"/>
      <c r="K171" s="446"/>
      <c r="L171" s="446"/>
      <c r="M171" s="446"/>
      <c r="N171" s="446"/>
      <c r="O171" s="446"/>
      <c r="P171" s="446"/>
      <c r="Q171" s="446"/>
      <c r="R171" s="446"/>
      <c r="S171" s="446"/>
      <c r="T171" s="446"/>
      <c r="U171" s="446"/>
      <c r="V171" s="446"/>
    </row>
    <row r="172" ht="23.25" customHeight="1">
      <c r="A172" s="446"/>
      <c r="B172" s="446"/>
      <c r="C172" s="446"/>
      <c r="D172" s="446"/>
      <c r="E172" s="446"/>
      <c r="F172" s="446"/>
      <c r="G172" s="446"/>
      <c r="H172" s="446"/>
      <c r="I172" s="446"/>
      <c r="J172" s="446"/>
      <c r="K172" s="446"/>
      <c r="L172" s="446"/>
      <c r="M172" s="446"/>
      <c r="N172" s="446"/>
      <c r="O172" s="446"/>
      <c r="P172" s="446"/>
      <c r="Q172" s="446"/>
      <c r="R172" s="446"/>
      <c r="S172" s="446"/>
      <c r="T172" s="446"/>
      <c r="U172" s="446"/>
      <c r="V172" s="446"/>
    </row>
    <row r="173" ht="23.25" customHeight="1">
      <c r="A173" s="446"/>
      <c r="B173" s="446"/>
      <c r="C173" s="446"/>
      <c r="D173" s="446"/>
      <c r="E173" s="446"/>
      <c r="F173" s="446"/>
      <c r="G173" s="446"/>
      <c r="H173" s="446"/>
      <c r="I173" s="446"/>
      <c r="J173" s="446"/>
      <c r="K173" s="446"/>
      <c r="L173" s="446"/>
      <c r="M173" s="446"/>
      <c r="N173" s="446"/>
      <c r="O173" s="446"/>
      <c r="P173" s="446"/>
      <c r="Q173" s="446"/>
      <c r="R173" s="446"/>
      <c r="S173" s="446"/>
      <c r="T173" s="446"/>
      <c r="U173" s="446"/>
      <c r="V173" s="446"/>
    </row>
    <row r="174" ht="23.25" customHeight="1">
      <c r="A174" s="446"/>
      <c r="B174" s="446"/>
      <c r="C174" s="446"/>
      <c r="D174" s="446"/>
      <c r="E174" s="446"/>
      <c r="F174" s="446"/>
      <c r="G174" s="446"/>
      <c r="H174" s="446"/>
      <c r="I174" s="446"/>
      <c r="J174" s="446"/>
      <c r="K174" s="446"/>
      <c r="L174" s="446"/>
      <c r="M174" s="446"/>
      <c r="N174" s="446"/>
      <c r="O174" s="446"/>
      <c r="P174" s="446"/>
      <c r="Q174" s="446"/>
      <c r="R174" s="446"/>
      <c r="S174" s="446"/>
      <c r="T174" s="446"/>
      <c r="U174" s="446"/>
      <c r="V174" s="446"/>
    </row>
    <row r="175" ht="23.25" customHeight="1">
      <c r="A175" s="446"/>
      <c r="B175" s="446"/>
      <c r="C175" s="446"/>
      <c r="D175" s="446"/>
      <c r="E175" s="446"/>
      <c r="F175" s="446"/>
      <c r="G175" s="446"/>
      <c r="H175" s="446"/>
      <c r="I175" s="446"/>
      <c r="J175" s="446"/>
      <c r="K175" s="446"/>
      <c r="L175" s="446"/>
      <c r="M175" s="446"/>
      <c r="N175" s="446"/>
      <c r="O175" s="446"/>
      <c r="P175" s="446"/>
      <c r="Q175" s="446"/>
      <c r="R175" s="446"/>
      <c r="S175" s="446"/>
      <c r="T175" s="446"/>
      <c r="U175" s="446"/>
      <c r="V175" s="446"/>
    </row>
    <row r="176" ht="23.25" customHeight="1">
      <c r="A176" s="446"/>
      <c r="B176" s="446"/>
      <c r="C176" s="446"/>
      <c r="D176" s="446"/>
      <c r="E176" s="446"/>
      <c r="F176" s="446"/>
      <c r="G176" s="446"/>
      <c r="H176" s="446"/>
      <c r="I176" s="446"/>
      <c r="J176" s="446"/>
      <c r="K176" s="446"/>
      <c r="L176" s="446"/>
      <c r="M176" s="446"/>
      <c r="N176" s="446"/>
      <c r="O176" s="446"/>
      <c r="P176" s="446"/>
      <c r="Q176" s="446"/>
      <c r="R176" s="446"/>
      <c r="S176" s="446"/>
      <c r="T176" s="446"/>
      <c r="U176" s="446"/>
      <c r="V176" s="446"/>
    </row>
    <row r="177" ht="23.25" customHeight="1">
      <c r="A177" s="446"/>
      <c r="B177" s="446"/>
      <c r="C177" s="446"/>
      <c r="D177" s="446"/>
      <c r="E177" s="446"/>
      <c r="F177" s="446"/>
      <c r="G177" s="446"/>
      <c r="H177" s="446"/>
      <c r="I177" s="446"/>
      <c r="J177" s="446"/>
      <c r="K177" s="446"/>
      <c r="L177" s="446"/>
      <c r="M177" s="446"/>
      <c r="N177" s="446"/>
      <c r="O177" s="446"/>
      <c r="P177" s="446"/>
      <c r="Q177" s="446"/>
      <c r="R177" s="446"/>
      <c r="S177" s="446"/>
      <c r="T177" s="446"/>
      <c r="U177" s="446"/>
      <c r="V177" s="446"/>
    </row>
    <row r="178" ht="23.25" customHeight="1">
      <c r="A178" s="446"/>
      <c r="B178" s="446"/>
      <c r="C178" s="446"/>
      <c r="D178" s="446"/>
      <c r="E178" s="446"/>
      <c r="F178" s="446"/>
      <c r="G178" s="446"/>
      <c r="H178" s="446"/>
      <c r="I178" s="446"/>
      <c r="J178" s="446"/>
      <c r="K178" s="446"/>
      <c r="L178" s="446"/>
      <c r="M178" s="446"/>
      <c r="N178" s="446"/>
      <c r="O178" s="446"/>
      <c r="P178" s="446"/>
      <c r="Q178" s="446"/>
      <c r="R178" s="446"/>
      <c r="S178" s="446"/>
      <c r="T178" s="446"/>
      <c r="U178" s="446"/>
      <c r="V178" s="446"/>
    </row>
    <row r="179" ht="23.25" customHeight="1">
      <c r="A179" s="446"/>
      <c r="B179" s="446"/>
      <c r="C179" s="446"/>
      <c r="D179" s="446"/>
      <c r="E179" s="446"/>
      <c r="F179" s="446"/>
      <c r="G179" s="446"/>
      <c r="H179" s="446"/>
      <c r="I179" s="446"/>
      <c r="J179" s="446"/>
      <c r="K179" s="446"/>
      <c r="L179" s="446"/>
      <c r="M179" s="446"/>
      <c r="N179" s="446"/>
      <c r="O179" s="446"/>
      <c r="P179" s="446"/>
      <c r="Q179" s="446"/>
      <c r="R179" s="446"/>
      <c r="S179" s="446"/>
      <c r="T179" s="446"/>
      <c r="U179" s="446"/>
      <c r="V179" s="446"/>
    </row>
    <row r="180" ht="23.25" customHeight="1">
      <c r="A180" s="446"/>
      <c r="B180" s="446"/>
      <c r="C180" s="446"/>
      <c r="D180" s="446"/>
      <c r="E180" s="446"/>
      <c r="F180" s="446"/>
      <c r="G180" s="446"/>
      <c r="H180" s="446"/>
      <c r="I180" s="446"/>
      <c r="J180" s="446"/>
      <c r="K180" s="446"/>
      <c r="L180" s="446"/>
      <c r="M180" s="446"/>
      <c r="N180" s="446"/>
      <c r="O180" s="446"/>
      <c r="P180" s="446"/>
      <c r="Q180" s="446"/>
      <c r="R180" s="446"/>
      <c r="S180" s="446"/>
      <c r="T180" s="446"/>
      <c r="U180" s="446"/>
      <c r="V180" s="446"/>
    </row>
    <row r="181" ht="23.25" customHeight="1">
      <c r="A181" s="446"/>
      <c r="B181" s="446"/>
      <c r="C181" s="446"/>
      <c r="D181" s="446"/>
      <c r="E181" s="446"/>
      <c r="F181" s="446"/>
      <c r="G181" s="446"/>
      <c r="H181" s="446"/>
      <c r="I181" s="446"/>
      <c r="J181" s="446"/>
      <c r="K181" s="446"/>
      <c r="L181" s="446"/>
      <c r="M181" s="446"/>
      <c r="N181" s="446"/>
      <c r="O181" s="446"/>
      <c r="P181" s="446"/>
      <c r="Q181" s="446"/>
      <c r="R181" s="446"/>
      <c r="S181" s="446"/>
      <c r="T181" s="446"/>
      <c r="U181" s="446"/>
      <c r="V181" s="446"/>
    </row>
    <row r="182" ht="23.25" customHeight="1">
      <c r="A182" s="446"/>
      <c r="B182" s="446"/>
      <c r="C182" s="446"/>
      <c r="D182" s="446"/>
      <c r="E182" s="446"/>
      <c r="F182" s="446"/>
      <c r="G182" s="446"/>
      <c r="H182" s="446"/>
      <c r="I182" s="446"/>
      <c r="J182" s="446"/>
      <c r="K182" s="446"/>
      <c r="L182" s="446"/>
      <c r="M182" s="446"/>
      <c r="N182" s="446"/>
      <c r="O182" s="446"/>
      <c r="P182" s="446"/>
      <c r="Q182" s="446"/>
      <c r="R182" s="446"/>
      <c r="S182" s="446"/>
      <c r="T182" s="446"/>
      <c r="U182" s="446"/>
      <c r="V182" s="446"/>
    </row>
    <row r="183" ht="23.25" customHeight="1">
      <c r="A183" s="446"/>
      <c r="B183" s="446"/>
      <c r="C183" s="446"/>
      <c r="D183" s="446"/>
      <c r="E183" s="446"/>
      <c r="F183" s="446"/>
      <c r="G183" s="446"/>
      <c r="H183" s="446"/>
      <c r="I183" s="446"/>
      <c r="J183" s="446"/>
      <c r="K183" s="446"/>
      <c r="L183" s="446"/>
      <c r="M183" s="446"/>
      <c r="N183" s="446"/>
      <c r="O183" s="446"/>
      <c r="P183" s="446"/>
      <c r="Q183" s="446"/>
      <c r="R183" s="446"/>
      <c r="S183" s="446"/>
      <c r="T183" s="446"/>
      <c r="U183" s="446"/>
      <c r="V183" s="446"/>
    </row>
    <row r="184" ht="23.25" customHeight="1">
      <c r="A184" s="446"/>
      <c r="B184" s="446"/>
      <c r="C184" s="446"/>
      <c r="D184" s="446"/>
      <c r="E184" s="446"/>
      <c r="F184" s="446"/>
      <c r="G184" s="446"/>
      <c r="H184" s="446"/>
      <c r="I184" s="446"/>
      <c r="J184" s="446"/>
      <c r="K184" s="446"/>
      <c r="L184" s="446"/>
      <c r="M184" s="446"/>
      <c r="N184" s="446"/>
      <c r="O184" s="446"/>
      <c r="P184" s="446"/>
      <c r="Q184" s="446"/>
      <c r="R184" s="446"/>
      <c r="S184" s="446"/>
      <c r="T184" s="446"/>
      <c r="U184" s="446"/>
      <c r="V184" s="446"/>
    </row>
    <row r="185" ht="23.25" customHeight="1">
      <c r="A185" s="446"/>
      <c r="B185" s="446"/>
      <c r="C185" s="446"/>
      <c r="D185" s="446"/>
      <c r="E185" s="446"/>
      <c r="F185" s="446"/>
      <c r="G185" s="446"/>
      <c r="H185" s="446"/>
      <c r="I185" s="446"/>
      <c r="J185" s="446"/>
      <c r="K185" s="446"/>
      <c r="L185" s="446"/>
      <c r="M185" s="446"/>
      <c r="N185" s="446"/>
      <c r="O185" s="446"/>
      <c r="P185" s="446"/>
      <c r="Q185" s="446"/>
      <c r="R185" s="446"/>
      <c r="S185" s="446"/>
      <c r="T185" s="446"/>
      <c r="U185" s="446"/>
      <c r="V185" s="446"/>
    </row>
    <row r="186" ht="23.25" customHeight="1">
      <c r="A186" s="446"/>
      <c r="B186" s="446"/>
      <c r="C186" s="446"/>
      <c r="D186" s="446"/>
      <c r="E186" s="446"/>
      <c r="F186" s="446"/>
      <c r="G186" s="446"/>
      <c r="H186" s="446"/>
      <c r="I186" s="446"/>
      <c r="J186" s="446"/>
      <c r="K186" s="446"/>
      <c r="L186" s="446"/>
      <c r="M186" s="446"/>
      <c r="N186" s="446"/>
      <c r="O186" s="446"/>
      <c r="P186" s="446"/>
      <c r="Q186" s="446"/>
      <c r="R186" s="446"/>
      <c r="S186" s="446"/>
      <c r="T186" s="446"/>
      <c r="U186" s="446"/>
      <c r="V186" s="446"/>
    </row>
    <row r="187" ht="23.25" customHeight="1">
      <c r="A187" s="446"/>
      <c r="B187" s="446"/>
      <c r="C187" s="446"/>
      <c r="D187" s="446"/>
      <c r="E187" s="446"/>
      <c r="F187" s="446"/>
      <c r="G187" s="446"/>
      <c r="H187" s="446"/>
      <c r="I187" s="446"/>
      <c r="J187" s="446"/>
      <c r="K187" s="446"/>
      <c r="L187" s="446"/>
      <c r="M187" s="446"/>
      <c r="N187" s="446"/>
      <c r="O187" s="446"/>
      <c r="P187" s="446"/>
      <c r="Q187" s="446"/>
      <c r="R187" s="446"/>
      <c r="S187" s="446"/>
      <c r="T187" s="446"/>
      <c r="U187" s="446"/>
      <c r="V187" s="446"/>
    </row>
    <row r="188" ht="23.25" customHeight="1">
      <c r="A188" s="446"/>
      <c r="B188" s="446"/>
      <c r="C188" s="446"/>
      <c r="D188" s="446"/>
      <c r="E188" s="446"/>
      <c r="F188" s="446"/>
      <c r="G188" s="446"/>
      <c r="H188" s="446"/>
      <c r="I188" s="446"/>
      <c r="J188" s="446"/>
      <c r="K188" s="446"/>
      <c r="L188" s="446"/>
      <c r="M188" s="446"/>
      <c r="N188" s="446"/>
      <c r="O188" s="446"/>
      <c r="P188" s="446"/>
      <c r="Q188" s="446"/>
      <c r="R188" s="446"/>
      <c r="S188" s="446"/>
      <c r="T188" s="446"/>
      <c r="U188" s="446"/>
      <c r="V188" s="446"/>
    </row>
    <row r="189" ht="23.25" customHeight="1">
      <c r="A189" s="446"/>
      <c r="B189" s="446"/>
      <c r="C189" s="446"/>
      <c r="D189" s="446"/>
      <c r="E189" s="446"/>
      <c r="F189" s="446"/>
      <c r="G189" s="446"/>
      <c r="H189" s="446"/>
      <c r="I189" s="446"/>
      <c r="J189" s="446"/>
      <c r="K189" s="446"/>
      <c r="L189" s="446"/>
      <c r="M189" s="446"/>
      <c r="N189" s="446"/>
      <c r="O189" s="446"/>
      <c r="P189" s="446"/>
      <c r="Q189" s="446"/>
      <c r="R189" s="446"/>
      <c r="S189" s="446"/>
      <c r="T189" s="446"/>
      <c r="U189" s="446"/>
      <c r="V189" s="446"/>
    </row>
    <row r="190" ht="23.25" customHeight="1">
      <c r="A190" s="446"/>
      <c r="B190" s="446"/>
      <c r="C190" s="446"/>
      <c r="D190" s="446"/>
      <c r="E190" s="446"/>
      <c r="F190" s="446"/>
      <c r="G190" s="446"/>
      <c r="H190" s="446"/>
      <c r="I190" s="446"/>
      <c r="J190" s="446"/>
      <c r="K190" s="446"/>
      <c r="L190" s="446"/>
      <c r="M190" s="446"/>
      <c r="N190" s="446"/>
      <c r="O190" s="446"/>
      <c r="P190" s="446"/>
      <c r="Q190" s="446"/>
      <c r="R190" s="446"/>
      <c r="S190" s="446"/>
      <c r="T190" s="446"/>
      <c r="U190" s="446"/>
      <c r="V190" s="446"/>
    </row>
    <row r="191" ht="23.25" customHeight="1">
      <c r="A191" s="446"/>
      <c r="B191" s="446"/>
      <c r="C191" s="446"/>
      <c r="D191" s="446"/>
      <c r="E191" s="446"/>
      <c r="F191" s="446"/>
      <c r="G191" s="446"/>
      <c r="H191" s="446"/>
      <c r="I191" s="446"/>
      <c r="J191" s="446"/>
      <c r="K191" s="446"/>
      <c r="L191" s="446"/>
      <c r="M191" s="446"/>
      <c r="N191" s="446"/>
      <c r="O191" s="446"/>
      <c r="P191" s="446"/>
      <c r="Q191" s="446"/>
      <c r="R191" s="446"/>
      <c r="S191" s="446"/>
      <c r="T191" s="446"/>
      <c r="U191" s="446"/>
      <c r="V191" s="446"/>
    </row>
    <row r="192" ht="23.25" customHeight="1">
      <c r="A192" s="446"/>
      <c r="B192" s="446"/>
      <c r="C192" s="446"/>
      <c r="D192" s="446"/>
      <c r="E192" s="446"/>
      <c r="F192" s="446"/>
      <c r="G192" s="446"/>
      <c r="H192" s="446"/>
      <c r="I192" s="446"/>
      <c r="J192" s="446"/>
      <c r="K192" s="446"/>
      <c r="L192" s="446"/>
      <c r="M192" s="446"/>
      <c r="N192" s="446"/>
      <c r="O192" s="446"/>
      <c r="P192" s="446"/>
      <c r="Q192" s="446"/>
      <c r="R192" s="446"/>
      <c r="S192" s="446"/>
      <c r="T192" s="446"/>
      <c r="U192" s="446"/>
      <c r="V192" s="446"/>
    </row>
    <row r="193" ht="23.25" customHeight="1">
      <c r="A193" s="446"/>
      <c r="B193" s="446"/>
      <c r="C193" s="446"/>
      <c r="D193" s="446"/>
      <c r="E193" s="446"/>
      <c r="F193" s="446"/>
      <c r="G193" s="446"/>
      <c r="H193" s="446"/>
      <c r="I193" s="446"/>
      <c r="J193" s="446"/>
      <c r="K193" s="446"/>
      <c r="L193" s="446"/>
      <c r="M193" s="446"/>
      <c r="N193" s="446"/>
      <c r="O193" s="446"/>
      <c r="P193" s="446"/>
      <c r="Q193" s="446"/>
      <c r="R193" s="446"/>
      <c r="S193" s="446"/>
      <c r="T193" s="446"/>
      <c r="U193" s="446"/>
      <c r="V193" s="446"/>
    </row>
    <row r="194" ht="23.25" customHeight="1">
      <c r="A194" s="446"/>
      <c r="B194" s="446"/>
      <c r="C194" s="446"/>
      <c r="D194" s="446"/>
      <c r="E194" s="446"/>
      <c r="F194" s="446"/>
      <c r="G194" s="446"/>
      <c r="H194" s="446"/>
      <c r="I194" s="446"/>
      <c r="J194" s="446"/>
      <c r="K194" s="446"/>
      <c r="L194" s="446"/>
      <c r="M194" s="446"/>
      <c r="N194" s="446"/>
      <c r="O194" s="446"/>
      <c r="P194" s="446"/>
      <c r="Q194" s="446"/>
      <c r="R194" s="446"/>
      <c r="S194" s="446"/>
      <c r="T194" s="446"/>
      <c r="U194" s="446"/>
      <c r="V194" s="446"/>
    </row>
    <row r="195" ht="23.25" customHeight="1">
      <c r="A195" s="446"/>
      <c r="B195" s="446"/>
      <c r="C195" s="446"/>
      <c r="D195" s="446"/>
      <c r="E195" s="446"/>
      <c r="F195" s="446"/>
      <c r="G195" s="446"/>
      <c r="H195" s="446"/>
      <c r="I195" s="446"/>
      <c r="J195" s="446"/>
      <c r="K195" s="446"/>
      <c r="L195" s="446"/>
      <c r="M195" s="446"/>
      <c r="N195" s="446"/>
      <c r="O195" s="446"/>
      <c r="P195" s="446"/>
      <c r="Q195" s="446"/>
      <c r="R195" s="446"/>
      <c r="S195" s="446"/>
      <c r="T195" s="446"/>
      <c r="U195" s="446"/>
      <c r="V195" s="446"/>
    </row>
    <row r="196" ht="23.25" customHeight="1">
      <c r="A196" s="446"/>
      <c r="B196" s="446"/>
      <c r="C196" s="446"/>
      <c r="D196" s="446"/>
      <c r="E196" s="446"/>
      <c r="F196" s="446"/>
      <c r="G196" s="446"/>
      <c r="H196" s="446"/>
      <c r="I196" s="446"/>
      <c r="J196" s="446"/>
      <c r="K196" s="446"/>
      <c r="L196" s="446"/>
      <c r="M196" s="446"/>
      <c r="N196" s="446"/>
      <c r="O196" s="446"/>
      <c r="P196" s="446"/>
      <c r="Q196" s="446"/>
      <c r="R196" s="446"/>
      <c r="S196" s="446"/>
      <c r="T196" s="446"/>
      <c r="U196" s="446"/>
      <c r="V196" s="446"/>
    </row>
    <row r="197" ht="23.25" customHeight="1">
      <c r="A197" s="446"/>
      <c r="B197" s="446"/>
      <c r="C197" s="446"/>
      <c r="D197" s="446"/>
      <c r="E197" s="446"/>
      <c r="F197" s="446"/>
      <c r="G197" s="446"/>
      <c r="H197" s="446"/>
      <c r="I197" s="446"/>
      <c r="J197" s="446"/>
      <c r="K197" s="446"/>
      <c r="L197" s="446"/>
      <c r="M197" s="446"/>
      <c r="N197" s="446"/>
      <c r="O197" s="446"/>
      <c r="P197" s="446"/>
      <c r="Q197" s="446"/>
      <c r="R197" s="446"/>
      <c r="S197" s="446"/>
      <c r="T197" s="446"/>
      <c r="U197" s="446"/>
      <c r="V197" s="446"/>
    </row>
    <row r="198" ht="23.25" customHeight="1">
      <c r="A198" s="446"/>
      <c r="B198" s="446"/>
      <c r="C198" s="446"/>
      <c r="D198" s="446"/>
      <c r="E198" s="446"/>
      <c r="F198" s="446"/>
      <c r="G198" s="446"/>
      <c r="H198" s="446"/>
      <c r="I198" s="446"/>
      <c r="J198" s="446"/>
      <c r="K198" s="446"/>
      <c r="L198" s="446"/>
      <c r="M198" s="446"/>
      <c r="N198" s="446"/>
      <c r="O198" s="446"/>
      <c r="P198" s="446"/>
      <c r="Q198" s="446"/>
      <c r="R198" s="446"/>
      <c r="S198" s="446"/>
      <c r="T198" s="446"/>
      <c r="U198" s="446"/>
      <c r="V198" s="446"/>
    </row>
    <row r="199" ht="23.25" customHeight="1">
      <c r="A199" s="446"/>
      <c r="B199" s="446"/>
      <c r="C199" s="446"/>
      <c r="D199" s="446"/>
      <c r="E199" s="446"/>
      <c r="F199" s="446"/>
      <c r="G199" s="446"/>
      <c r="H199" s="446"/>
      <c r="I199" s="446"/>
      <c r="J199" s="446"/>
      <c r="K199" s="446"/>
      <c r="L199" s="446"/>
      <c r="M199" s="446"/>
      <c r="N199" s="446"/>
      <c r="O199" s="446"/>
      <c r="P199" s="446"/>
      <c r="Q199" s="446"/>
      <c r="R199" s="446"/>
      <c r="S199" s="446"/>
      <c r="T199" s="446"/>
      <c r="U199" s="446"/>
      <c r="V199" s="446"/>
    </row>
    <row r="200" ht="23.25" customHeight="1">
      <c r="A200" s="446"/>
      <c r="B200" s="446"/>
      <c r="C200" s="446"/>
      <c r="D200" s="446"/>
      <c r="E200" s="446"/>
      <c r="F200" s="446"/>
      <c r="G200" s="446"/>
      <c r="H200" s="446"/>
      <c r="I200" s="446"/>
      <c r="J200" s="446"/>
      <c r="K200" s="446"/>
      <c r="L200" s="446"/>
      <c r="M200" s="446"/>
      <c r="N200" s="446"/>
      <c r="O200" s="446"/>
      <c r="P200" s="446"/>
      <c r="Q200" s="446"/>
      <c r="R200" s="446"/>
      <c r="S200" s="446"/>
      <c r="T200" s="446"/>
      <c r="U200" s="446"/>
      <c r="V200" s="446"/>
    </row>
    <row r="201" ht="23.25" customHeight="1">
      <c r="A201" s="446"/>
      <c r="B201" s="446"/>
      <c r="C201" s="446"/>
      <c r="D201" s="446"/>
      <c r="E201" s="446"/>
      <c r="F201" s="446"/>
      <c r="G201" s="446"/>
      <c r="H201" s="446"/>
      <c r="I201" s="446"/>
      <c r="J201" s="446"/>
      <c r="K201" s="446"/>
      <c r="L201" s="446"/>
      <c r="M201" s="446"/>
      <c r="N201" s="446"/>
      <c r="O201" s="446"/>
      <c r="P201" s="446"/>
      <c r="Q201" s="446"/>
      <c r="R201" s="446"/>
      <c r="S201" s="446"/>
      <c r="T201" s="446"/>
      <c r="U201" s="446"/>
      <c r="V201" s="446"/>
    </row>
    <row r="202" ht="23.25" customHeight="1">
      <c r="A202" s="446"/>
      <c r="B202" s="446"/>
      <c r="C202" s="446"/>
      <c r="D202" s="446"/>
      <c r="E202" s="446"/>
      <c r="F202" s="446"/>
      <c r="G202" s="446"/>
      <c r="H202" s="446"/>
      <c r="I202" s="446"/>
      <c r="J202" s="446"/>
      <c r="K202" s="446"/>
      <c r="L202" s="446"/>
      <c r="M202" s="446"/>
      <c r="N202" s="446"/>
      <c r="O202" s="446"/>
      <c r="P202" s="446"/>
      <c r="Q202" s="446"/>
      <c r="R202" s="446"/>
      <c r="S202" s="446"/>
      <c r="T202" s="446"/>
      <c r="U202" s="446"/>
      <c r="V202" s="446"/>
    </row>
    <row r="203" ht="23.25" customHeight="1">
      <c r="A203" s="446"/>
      <c r="B203" s="446"/>
      <c r="C203" s="446"/>
      <c r="D203" s="446"/>
      <c r="E203" s="446"/>
      <c r="F203" s="446"/>
      <c r="G203" s="446"/>
      <c r="H203" s="446"/>
      <c r="I203" s="446"/>
      <c r="J203" s="446"/>
      <c r="K203" s="446"/>
      <c r="L203" s="446"/>
      <c r="M203" s="446"/>
      <c r="N203" s="446"/>
      <c r="O203" s="446"/>
      <c r="P203" s="446"/>
      <c r="Q203" s="446"/>
      <c r="R203" s="446"/>
      <c r="S203" s="446"/>
      <c r="T203" s="446"/>
      <c r="U203" s="446"/>
      <c r="V203" s="446"/>
    </row>
    <row r="204" ht="23.25" customHeight="1">
      <c r="A204" s="446"/>
      <c r="B204" s="446"/>
      <c r="C204" s="446"/>
      <c r="D204" s="446"/>
      <c r="E204" s="446"/>
      <c r="F204" s="446"/>
      <c r="G204" s="446"/>
      <c r="H204" s="446"/>
      <c r="I204" s="446"/>
      <c r="J204" s="446"/>
      <c r="K204" s="446"/>
      <c r="L204" s="446"/>
      <c r="M204" s="446"/>
      <c r="N204" s="446"/>
      <c r="O204" s="446"/>
      <c r="P204" s="446"/>
      <c r="Q204" s="446"/>
      <c r="R204" s="446"/>
      <c r="S204" s="446"/>
      <c r="T204" s="446"/>
      <c r="U204" s="446"/>
      <c r="V204" s="446"/>
    </row>
    <row r="205" ht="23.25" customHeight="1">
      <c r="A205" s="446"/>
      <c r="B205" s="446"/>
      <c r="C205" s="446"/>
      <c r="D205" s="446"/>
      <c r="E205" s="446"/>
      <c r="F205" s="446"/>
      <c r="G205" s="446"/>
      <c r="H205" s="446"/>
      <c r="I205" s="446"/>
      <c r="J205" s="446"/>
      <c r="K205" s="446"/>
      <c r="L205" s="446"/>
      <c r="M205" s="446"/>
      <c r="N205" s="446"/>
      <c r="O205" s="446"/>
      <c r="P205" s="446"/>
      <c r="Q205" s="446"/>
      <c r="R205" s="446"/>
      <c r="S205" s="446"/>
      <c r="T205" s="446"/>
      <c r="U205" s="446"/>
      <c r="V205" s="446"/>
    </row>
    <row r="206" ht="23.25" customHeight="1">
      <c r="A206" s="446"/>
      <c r="B206" s="446"/>
      <c r="C206" s="446"/>
      <c r="D206" s="446"/>
      <c r="E206" s="446"/>
      <c r="F206" s="446"/>
      <c r="G206" s="446"/>
      <c r="H206" s="446"/>
      <c r="I206" s="446"/>
      <c r="J206" s="446"/>
      <c r="K206" s="446"/>
      <c r="L206" s="446"/>
      <c r="M206" s="446"/>
      <c r="N206" s="446"/>
      <c r="O206" s="446"/>
      <c r="P206" s="446"/>
      <c r="Q206" s="446"/>
      <c r="R206" s="446"/>
      <c r="S206" s="446"/>
      <c r="T206" s="446"/>
      <c r="U206" s="446"/>
      <c r="V206" s="446"/>
    </row>
    <row r="207" ht="23.25" customHeight="1">
      <c r="A207" s="446"/>
      <c r="B207" s="446"/>
      <c r="C207" s="446"/>
      <c r="D207" s="446"/>
      <c r="E207" s="446"/>
      <c r="F207" s="446"/>
      <c r="G207" s="446"/>
      <c r="H207" s="446"/>
      <c r="I207" s="446"/>
      <c r="J207" s="446"/>
      <c r="K207" s="446"/>
      <c r="L207" s="446"/>
      <c r="M207" s="446"/>
      <c r="N207" s="446"/>
      <c r="O207" s="446"/>
      <c r="P207" s="446"/>
      <c r="Q207" s="446"/>
      <c r="R207" s="446"/>
      <c r="S207" s="446"/>
      <c r="T207" s="446"/>
      <c r="U207" s="446"/>
      <c r="V207" s="446"/>
    </row>
    <row r="208" ht="23.25" customHeight="1">
      <c r="A208" s="446"/>
      <c r="B208" s="446"/>
      <c r="C208" s="446"/>
      <c r="D208" s="446"/>
      <c r="E208" s="446"/>
      <c r="F208" s="446"/>
      <c r="G208" s="446"/>
      <c r="H208" s="446"/>
      <c r="I208" s="446"/>
      <c r="J208" s="446"/>
      <c r="K208" s="446"/>
      <c r="L208" s="446"/>
      <c r="M208" s="446"/>
      <c r="N208" s="446"/>
      <c r="O208" s="446"/>
      <c r="P208" s="446"/>
      <c r="Q208" s="446"/>
      <c r="R208" s="446"/>
      <c r="S208" s="446"/>
      <c r="T208" s="446"/>
      <c r="U208" s="446"/>
      <c r="V208" s="446"/>
    </row>
    <row r="209" ht="23.25" customHeight="1">
      <c r="A209" s="446"/>
      <c r="B209" s="446"/>
      <c r="C209" s="446"/>
      <c r="D209" s="446"/>
      <c r="E209" s="446"/>
      <c r="F209" s="446"/>
      <c r="G209" s="446"/>
      <c r="H209" s="446"/>
      <c r="I209" s="446"/>
      <c r="J209" s="446"/>
      <c r="K209" s="446"/>
      <c r="L209" s="446"/>
      <c r="M209" s="446"/>
      <c r="N209" s="446"/>
      <c r="O209" s="446"/>
      <c r="P209" s="446"/>
      <c r="Q209" s="446"/>
      <c r="R209" s="446"/>
      <c r="S209" s="446"/>
      <c r="T209" s="446"/>
      <c r="U209" s="446"/>
      <c r="V209" s="446"/>
    </row>
    <row r="210" ht="23.25" customHeight="1">
      <c r="A210" s="446"/>
      <c r="B210" s="446"/>
      <c r="C210" s="446"/>
      <c r="D210" s="446"/>
      <c r="E210" s="446"/>
      <c r="F210" s="446"/>
      <c r="G210" s="446"/>
      <c r="H210" s="446"/>
      <c r="I210" s="446"/>
      <c r="J210" s="446"/>
      <c r="K210" s="446"/>
      <c r="L210" s="446"/>
      <c r="M210" s="446"/>
      <c r="N210" s="446"/>
      <c r="O210" s="446"/>
      <c r="P210" s="446"/>
      <c r="Q210" s="446"/>
      <c r="R210" s="446"/>
      <c r="S210" s="446"/>
      <c r="T210" s="446"/>
      <c r="U210" s="446"/>
      <c r="V210" s="446"/>
    </row>
    <row r="211" ht="23.25" customHeight="1">
      <c r="A211" s="446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446"/>
      <c r="T211" s="446"/>
      <c r="U211" s="446"/>
      <c r="V211" s="446"/>
    </row>
    <row r="212" ht="23.25" customHeight="1">
      <c r="A212" s="446"/>
      <c r="B212" s="446"/>
      <c r="C212" s="446"/>
      <c r="D212" s="446"/>
      <c r="E212" s="446"/>
      <c r="F212" s="446"/>
      <c r="G212" s="446"/>
      <c r="H212" s="446"/>
      <c r="I212" s="446"/>
      <c r="J212" s="446"/>
      <c r="K212" s="446"/>
      <c r="L212" s="446"/>
      <c r="M212" s="446"/>
      <c r="N212" s="446"/>
      <c r="O212" s="446"/>
      <c r="P212" s="446"/>
      <c r="Q212" s="446"/>
      <c r="R212" s="446"/>
      <c r="S212" s="446"/>
      <c r="T212" s="446"/>
      <c r="U212" s="446"/>
      <c r="V212" s="446"/>
    </row>
    <row r="213" ht="23.25" customHeight="1">
      <c r="A213" s="446"/>
      <c r="B213" s="446"/>
      <c r="C213" s="446"/>
      <c r="D213" s="446"/>
      <c r="E213" s="446"/>
      <c r="F213" s="446"/>
      <c r="G213" s="446"/>
      <c r="H213" s="446"/>
      <c r="I213" s="446"/>
      <c r="J213" s="446"/>
      <c r="K213" s="446"/>
      <c r="L213" s="446"/>
      <c r="M213" s="446"/>
      <c r="N213" s="446"/>
      <c r="O213" s="446"/>
      <c r="P213" s="446"/>
      <c r="Q213" s="446"/>
      <c r="R213" s="446"/>
      <c r="S213" s="446"/>
      <c r="T213" s="446"/>
      <c r="U213" s="446"/>
      <c r="V213" s="446"/>
    </row>
    <row r="214" ht="23.25" customHeight="1">
      <c r="A214" s="446"/>
      <c r="B214" s="446"/>
      <c r="C214" s="446"/>
      <c r="D214" s="446"/>
      <c r="E214" s="446"/>
      <c r="F214" s="446"/>
      <c r="G214" s="446"/>
      <c r="H214" s="446"/>
      <c r="I214" s="446"/>
      <c r="J214" s="446"/>
      <c r="K214" s="446"/>
      <c r="L214" s="446"/>
      <c r="M214" s="446"/>
      <c r="N214" s="446"/>
      <c r="O214" s="446"/>
      <c r="P214" s="446"/>
      <c r="Q214" s="446"/>
      <c r="R214" s="446"/>
      <c r="S214" s="446"/>
      <c r="T214" s="446"/>
      <c r="U214" s="446"/>
      <c r="V214" s="446"/>
    </row>
    <row r="215" ht="23.25" customHeight="1">
      <c r="A215" s="446"/>
      <c r="B215" s="446"/>
      <c r="C215" s="446"/>
      <c r="D215" s="446"/>
      <c r="E215" s="446"/>
      <c r="F215" s="446"/>
      <c r="G215" s="446"/>
      <c r="H215" s="446"/>
      <c r="I215" s="446"/>
      <c r="J215" s="446"/>
      <c r="K215" s="446"/>
      <c r="L215" s="446"/>
      <c r="M215" s="446"/>
      <c r="N215" s="446"/>
      <c r="O215" s="446"/>
      <c r="P215" s="446"/>
      <c r="Q215" s="446"/>
      <c r="R215" s="446"/>
      <c r="S215" s="446"/>
      <c r="T215" s="446"/>
      <c r="U215" s="446"/>
      <c r="V215" s="446"/>
    </row>
    <row r="216" ht="23.25" customHeight="1">
      <c r="A216" s="446"/>
      <c r="B216" s="446"/>
      <c r="C216" s="446"/>
      <c r="D216" s="446"/>
      <c r="E216" s="446"/>
      <c r="F216" s="446"/>
      <c r="G216" s="446"/>
      <c r="H216" s="446"/>
      <c r="I216" s="446"/>
      <c r="J216" s="446"/>
      <c r="K216" s="446"/>
      <c r="L216" s="446"/>
      <c r="M216" s="446"/>
      <c r="N216" s="446"/>
      <c r="O216" s="446"/>
      <c r="P216" s="446"/>
      <c r="Q216" s="446"/>
      <c r="R216" s="446"/>
      <c r="S216" s="446"/>
      <c r="T216" s="446"/>
      <c r="U216" s="446"/>
      <c r="V216" s="446"/>
    </row>
    <row r="217" ht="23.25" customHeight="1">
      <c r="A217" s="446"/>
      <c r="B217" s="446"/>
      <c r="C217" s="446"/>
      <c r="D217" s="446"/>
      <c r="E217" s="446"/>
      <c r="F217" s="446"/>
      <c r="G217" s="446"/>
      <c r="H217" s="446"/>
      <c r="I217" s="446"/>
      <c r="J217" s="446"/>
      <c r="K217" s="446"/>
      <c r="L217" s="446"/>
      <c r="M217" s="446"/>
      <c r="N217" s="446"/>
      <c r="O217" s="446"/>
      <c r="P217" s="446"/>
      <c r="Q217" s="446"/>
      <c r="R217" s="446"/>
      <c r="S217" s="446"/>
      <c r="T217" s="446"/>
      <c r="U217" s="446"/>
      <c r="V217" s="446"/>
    </row>
    <row r="218" ht="23.25" customHeight="1">
      <c r="A218" s="446"/>
      <c r="B218" s="446"/>
      <c r="C218" s="446"/>
      <c r="D218" s="446"/>
      <c r="E218" s="446"/>
      <c r="F218" s="446"/>
      <c r="G218" s="446"/>
      <c r="H218" s="446"/>
      <c r="I218" s="446"/>
      <c r="J218" s="446"/>
      <c r="K218" s="446"/>
      <c r="L218" s="446"/>
      <c r="M218" s="446"/>
      <c r="N218" s="446"/>
      <c r="O218" s="446"/>
      <c r="P218" s="446"/>
      <c r="Q218" s="446"/>
      <c r="R218" s="446"/>
      <c r="S218" s="446"/>
      <c r="T218" s="446"/>
      <c r="U218" s="446"/>
      <c r="V218" s="446"/>
    </row>
    <row r="219" ht="23.25" customHeight="1">
      <c r="A219" s="446"/>
      <c r="B219" s="446"/>
      <c r="C219" s="446"/>
      <c r="D219" s="446"/>
      <c r="E219" s="446"/>
      <c r="F219" s="446"/>
      <c r="G219" s="446"/>
      <c r="H219" s="446"/>
      <c r="I219" s="446"/>
      <c r="J219" s="446"/>
      <c r="K219" s="446"/>
      <c r="L219" s="446"/>
      <c r="M219" s="446"/>
      <c r="N219" s="446"/>
      <c r="O219" s="446"/>
      <c r="P219" s="446"/>
      <c r="Q219" s="446"/>
      <c r="R219" s="446"/>
      <c r="S219" s="446"/>
      <c r="T219" s="446"/>
      <c r="U219" s="446"/>
      <c r="V219" s="446"/>
    </row>
    <row r="220" ht="23.25" customHeight="1">
      <c r="A220" s="446"/>
      <c r="B220" s="446"/>
      <c r="C220" s="446"/>
      <c r="D220" s="446"/>
      <c r="E220" s="446"/>
      <c r="F220" s="446"/>
      <c r="G220" s="446"/>
      <c r="H220" s="446"/>
      <c r="I220" s="446"/>
      <c r="J220" s="446"/>
      <c r="K220" s="446"/>
      <c r="L220" s="446"/>
      <c r="M220" s="446"/>
      <c r="N220" s="446"/>
      <c r="O220" s="446"/>
      <c r="P220" s="446"/>
      <c r="Q220" s="446"/>
      <c r="R220" s="446"/>
      <c r="S220" s="446"/>
      <c r="T220" s="446"/>
      <c r="U220" s="446"/>
      <c r="V220" s="44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5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5"/>
      <c r="Z1" s="455"/>
    </row>
    <row r="2" ht="21.75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5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5"/>
      <c r="Z2" s="455"/>
    </row>
    <row r="3" ht="21.75" customHeight="1">
      <c r="A3" s="452"/>
      <c r="B3" s="459"/>
      <c r="C3" s="455"/>
      <c r="D3" s="455"/>
      <c r="E3" s="455"/>
      <c r="F3" s="455"/>
      <c r="G3" s="455"/>
      <c r="H3" s="455"/>
      <c r="I3" s="455"/>
      <c r="J3" s="455"/>
      <c r="K3" s="455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5"/>
      <c r="Z3" s="455"/>
    </row>
    <row r="4" ht="21.75" customHeight="1">
      <c r="A4" s="452"/>
      <c r="B4" s="459"/>
      <c r="C4" s="455"/>
      <c r="D4" s="455"/>
      <c r="E4" s="455"/>
      <c r="F4" s="455"/>
      <c r="G4" s="455"/>
      <c r="H4" s="455"/>
      <c r="I4" s="455"/>
      <c r="J4" s="455"/>
      <c r="K4" s="455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5"/>
    </row>
    <row r="5" ht="26.25" customHeight="1">
      <c r="A5" s="452"/>
      <c r="B5" s="459"/>
      <c r="C5" s="462"/>
      <c r="D5" s="455"/>
      <c r="E5" s="463"/>
      <c r="F5" s="455"/>
      <c r="G5" s="455"/>
      <c r="H5" s="455"/>
      <c r="I5" s="455"/>
      <c r="J5" s="455"/>
      <c r="K5" s="455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5"/>
    </row>
    <row r="6" ht="26.25" customHeight="1">
      <c r="A6" s="452"/>
      <c r="B6" s="459"/>
      <c r="C6" s="455"/>
      <c r="D6" s="455"/>
      <c r="E6" s="455"/>
      <c r="F6" s="455"/>
      <c r="G6" s="455"/>
      <c r="H6" s="455"/>
      <c r="I6" s="455"/>
      <c r="J6" s="455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5"/>
    </row>
    <row r="7" ht="26.25" customHeight="1">
      <c r="A7" s="452"/>
      <c r="B7" s="459"/>
      <c r="C7" s="455"/>
      <c r="D7" s="455"/>
      <c r="E7" s="455"/>
      <c r="F7" s="455"/>
      <c r="G7" s="455"/>
      <c r="H7" s="455"/>
      <c r="I7" s="455"/>
      <c r="J7" s="455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5"/>
    </row>
    <row r="8" ht="26.25" customHeight="1">
      <c r="A8" s="452"/>
      <c r="B8" s="453"/>
      <c r="C8" s="455"/>
      <c r="D8" s="455"/>
      <c r="E8" s="455"/>
      <c r="F8" s="455"/>
      <c r="G8" s="455"/>
      <c r="H8" s="455"/>
      <c r="I8" s="455"/>
      <c r="J8" s="455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</row>
    <row r="9" ht="26.25" customHeight="1">
      <c r="A9" s="452"/>
      <c r="B9" s="453" t="s">
        <v>149</v>
      </c>
      <c r="C9" s="455" t="s">
        <v>150</v>
      </c>
      <c r="D9" s="455" t="s">
        <v>151</v>
      </c>
      <c r="E9" s="455"/>
      <c r="F9" s="455"/>
      <c r="G9" s="455"/>
      <c r="H9" s="220"/>
      <c r="I9" s="455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</row>
    <row r="10" ht="26.25" customHeight="1">
      <c r="A10" s="452"/>
      <c r="B10" s="453">
        <v>1.0</v>
      </c>
      <c r="C10" s="468"/>
      <c r="D10" s="469"/>
      <c r="E10" s="455"/>
      <c r="F10" s="455"/>
      <c r="G10" s="455"/>
      <c r="H10" s="220"/>
      <c r="I10" s="455"/>
      <c r="J10" s="470"/>
      <c r="K10" s="465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3"/>
      <c r="X10" s="460"/>
      <c r="Y10" s="460"/>
      <c r="Z10" s="452"/>
    </row>
    <row r="11" ht="26.25" customHeight="1">
      <c r="A11" s="452"/>
      <c r="B11" s="453">
        <v>2.0</v>
      </c>
      <c r="C11" s="453"/>
      <c r="D11" s="469"/>
      <c r="E11" s="453"/>
      <c r="F11" s="471"/>
      <c r="G11" s="471"/>
      <c r="H11" s="453"/>
      <c r="I11" s="466"/>
      <c r="J11" s="466"/>
      <c r="K11" s="45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72"/>
      <c r="X11" s="473"/>
      <c r="Y11" s="473"/>
      <c r="Z11" s="452"/>
    </row>
    <row r="12" ht="26.25" customHeight="1">
      <c r="A12" s="452"/>
      <c r="B12" s="453">
        <v>3.0</v>
      </c>
      <c r="C12" s="474"/>
      <c r="D12" s="469"/>
      <c r="E12" s="453"/>
      <c r="F12" s="471"/>
      <c r="G12" s="471"/>
      <c r="H12" s="453"/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</row>
    <row r="13" ht="26.25" customHeight="1">
      <c r="A13" s="452"/>
      <c r="B13" s="453">
        <v>4.0</v>
      </c>
      <c r="C13" s="460"/>
      <c r="D13" s="469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54"/>
      <c r="Y13" s="454"/>
      <c r="Z13" s="452"/>
    </row>
    <row r="14" ht="26.25" customHeight="1">
      <c r="A14" s="452"/>
      <c r="B14" s="453">
        <v>5.0</v>
      </c>
      <c r="C14" s="475"/>
      <c r="D14" s="469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</row>
    <row r="15" ht="26.25" customHeight="1">
      <c r="A15" s="452"/>
      <c r="B15" s="453">
        <v>6.0</v>
      </c>
      <c r="C15" s="460"/>
      <c r="D15" s="469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72"/>
      <c r="X15" s="473"/>
      <c r="Y15" s="473"/>
      <c r="Z15" s="452"/>
    </row>
    <row r="16" ht="26.25" customHeight="1">
      <c r="A16" s="452"/>
      <c r="B16" s="453">
        <v>7.0</v>
      </c>
      <c r="C16" s="476"/>
      <c r="D16" s="469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60"/>
      <c r="Y16" s="460"/>
      <c r="Z16" s="452"/>
    </row>
    <row r="17" ht="26.25" customHeight="1">
      <c r="A17" s="452"/>
      <c r="B17" s="453">
        <v>8.0</v>
      </c>
      <c r="C17" s="477"/>
      <c r="D17" s="469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60"/>
      <c r="Y17" s="460"/>
      <c r="Z17" s="452"/>
    </row>
    <row r="18" ht="26.25" customHeight="1">
      <c r="A18" s="452"/>
      <c r="B18" s="453">
        <v>9.0</v>
      </c>
      <c r="C18" s="474"/>
      <c r="D18" s="47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60"/>
      <c r="Y18" s="460"/>
      <c r="Z18" s="452"/>
    </row>
    <row r="19" ht="26.25" customHeight="1">
      <c r="A19" s="452"/>
      <c r="B19" s="453">
        <v>10.0</v>
      </c>
      <c r="C19" s="453"/>
      <c r="D19" s="469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</row>
    <row r="20" ht="26.25" customHeight="1">
      <c r="A20" s="452"/>
      <c r="B20" s="453">
        <v>11.0</v>
      </c>
      <c r="C20" s="479"/>
      <c r="D20" s="469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</row>
    <row r="21" ht="26.25" customHeight="1">
      <c r="A21" s="452"/>
      <c r="B21" s="453">
        <v>12.0</v>
      </c>
      <c r="C21" s="474"/>
      <c r="D21" s="469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</row>
    <row r="22" ht="26.25" customHeight="1">
      <c r="A22" s="452"/>
      <c r="B22" s="453">
        <v>13.0</v>
      </c>
      <c r="C22" s="453"/>
      <c r="D22" s="469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80"/>
      <c r="X22" s="460"/>
      <c r="Y22" s="460"/>
      <c r="Z22" s="452"/>
    </row>
    <row r="23" ht="26.25" customHeight="1">
      <c r="A23" s="452"/>
      <c r="B23" s="453">
        <v>14.0</v>
      </c>
      <c r="C23" s="475"/>
      <c r="D23" s="469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80"/>
      <c r="X23" s="460"/>
      <c r="Y23" s="460"/>
      <c r="Z23" s="452"/>
    </row>
    <row r="24" ht="26.25" customHeight="1">
      <c r="A24" s="452"/>
      <c r="B24" s="453">
        <v>15.0</v>
      </c>
      <c r="C24" s="460"/>
      <c r="D24" s="469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80"/>
      <c r="X24" s="460"/>
      <c r="Y24" s="460"/>
      <c r="Z24" s="452"/>
    </row>
    <row r="25" ht="26.25" customHeight="1">
      <c r="A25" s="452"/>
      <c r="B25" s="453">
        <v>16.0</v>
      </c>
      <c r="C25" s="481"/>
      <c r="D25" s="469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</row>
    <row r="26" ht="26.25" customHeight="1">
      <c r="A26" s="452"/>
      <c r="B26" s="453">
        <v>17.0</v>
      </c>
      <c r="C26" s="475"/>
      <c r="D26" s="469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</row>
    <row r="27" ht="26.25" customHeight="1">
      <c r="A27" s="452"/>
      <c r="B27" s="453">
        <v>18.0</v>
      </c>
      <c r="C27" s="475"/>
      <c r="D27" s="469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</row>
    <row r="28" ht="26.25" customHeight="1">
      <c r="A28" s="452"/>
      <c r="B28" s="453">
        <v>19.0</v>
      </c>
      <c r="C28" s="475"/>
      <c r="D28" s="469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53"/>
      <c r="X28" s="460"/>
      <c r="Y28" s="460"/>
      <c r="Z28" s="452"/>
    </row>
    <row r="29" ht="26.25" customHeight="1">
      <c r="A29" s="452"/>
      <c r="B29" s="453">
        <v>20.0</v>
      </c>
      <c r="C29" s="468"/>
      <c r="D29" s="469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53"/>
      <c r="X29" s="460"/>
      <c r="Y29" s="460"/>
      <c r="Z29" s="452"/>
    </row>
    <row r="30" ht="26.25" customHeight="1">
      <c r="A30" s="452"/>
      <c r="B30" s="453">
        <v>21.0</v>
      </c>
      <c r="C30" s="476"/>
      <c r="D30" s="469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53"/>
      <c r="X30" s="460"/>
      <c r="Y30" s="460"/>
      <c r="Z30" s="452"/>
    </row>
    <row r="31" ht="26.25" customHeight="1">
      <c r="A31" s="452"/>
      <c r="B31" s="453">
        <v>22.0</v>
      </c>
      <c r="C31" s="479"/>
      <c r="D31" s="469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53"/>
      <c r="X31" s="460"/>
      <c r="Y31" s="460"/>
      <c r="Z31" s="452"/>
    </row>
    <row r="32" ht="26.25" customHeight="1">
      <c r="A32" s="452"/>
      <c r="B32" s="453">
        <v>23.0</v>
      </c>
      <c r="C32" s="474"/>
      <c r="D32" s="469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53"/>
      <c r="X32" s="460"/>
      <c r="Y32" s="460"/>
      <c r="Z32" s="452"/>
    </row>
    <row r="33" ht="26.25" customHeight="1">
      <c r="A33" s="452"/>
      <c r="B33" s="453"/>
      <c r="C33" s="453" t="s">
        <v>133</v>
      </c>
      <c r="D33" s="482">
        <f>SUM(D10:D32)</f>
        <v>0</v>
      </c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455"/>
      <c r="X33" s="452"/>
      <c r="Y33" s="452"/>
      <c r="Z33" s="452"/>
    </row>
    <row r="34" ht="26.25" customHeight="1">
      <c r="A34" s="452"/>
      <c r="B34" s="479" t="s">
        <v>152</v>
      </c>
      <c r="C34" s="479">
        <v>30.0</v>
      </c>
      <c r="D34" s="474">
        <v>50.0</v>
      </c>
      <c r="E34" s="469">
        <v>70.0</v>
      </c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455"/>
      <c r="X34" s="452"/>
      <c r="Y34" s="452"/>
      <c r="Z34" s="452"/>
    </row>
    <row r="35" ht="26.25" customHeight="1">
      <c r="A35" s="452"/>
      <c r="B35" s="453" t="s">
        <v>48</v>
      </c>
      <c r="C35" s="460">
        <f>+D10+D16+D20+D25+D29+D30+D31</f>
        <v>0</v>
      </c>
      <c r="D35" s="460">
        <f>+D12+D14+D17+D18+D21+D23+D26+D27+D28+D32</f>
        <v>0</v>
      </c>
      <c r="E35" s="460">
        <f>+D11+D13+D15+D19+D22+D24</f>
        <v>0</v>
      </c>
      <c r="F35" s="482">
        <f>SUM(C35:E35)</f>
        <v>0</v>
      </c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455"/>
      <c r="X35" s="452"/>
      <c r="Y35" s="452"/>
      <c r="Z35" s="452"/>
    </row>
    <row r="36" ht="26.2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455"/>
      <c r="X36" s="452"/>
      <c r="Y36" s="452"/>
      <c r="Z36" s="452"/>
    </row>
    <row r="37" ht="26.2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455"/>
      <c r="X37" s="452"/>
      <c r="Y37" s="452"/>
      <c r="Z37" s="452"/>
    </row>
    <row r="38" ht="26.25" customHeight="1">
      <c r="A38" s="452"/>
      <c r="B38" s="453"/>
      <c r="C38" s="460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455"/>
      <c r="X38" s="452"/>
      <c r="Y38" s="452"/>
      <c r="Z38" s="452"/>
    </row>
    <row r="39" ht="26.2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455"/>
      <c r="X39" s="452"/>
      <c r="Y39" s="452"/>
      <c r="Z39" s="452"/>
    </row>
    <row r="40" ht="26.2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</row>
    <row r="41" ht="26.2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</row>
    <row r="42" ht="26.2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</row>
    <row r="43" ht="26.2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</row>
    <row r="44" ht="26.2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</row>
    <row r="45" ht="26.2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</row>
    <row r="46" ht="26.2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</row>
    <row r="47" ht="26.2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</row>
    <row r="48" ht="26.2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</row>
    <row r="49" ht="26.2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</row>
    <row r="50" ht="26.2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</row>
    <row r="51" ht="26.2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</row>
    <row r="52" ht="26.2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</row>
    <row r="53" ht="26.2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</row>
    <row r="54" ht="26.2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</row>
    <row r="55" ht="26.2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</row>
    <row r="56" ht="26.2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</row>
    <row r="57" ht="26.2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</row>
    <row r="58" ht="26.25" customHeight="1">
      <c r="A58" s="452"/>
      <c r="B58" s="453"/>
      <c r="C58" s="453"/>
      <c r="D58" s="453" t="s">
        <v>133</v>
      </c>
      <c r="E58" s="483">
        <f>SUM(E37:E57)</f>
        <v>0</v>
      </c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</row>
    <row r="59" ht="26.2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</row>
    <row r="60" ht="26.2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</row>
    <row r="61" ht="26.2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</row>
    <row r="62" ht="26.2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</row>
    <row r="63" ht="26.2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</row>
    <row r="64" ht="26.2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</row>
    <row r="65" ht="26.2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</row>
    <row r="66" ht="26.2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</row>
    <row r="67" ht="26.2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</row>
    <row r="68" ht="26.2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</row>
    <row r="69" ht="26.2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</row>
    <row r="70" ht="26.2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</row>
    <row r="71" ht="26.2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</row>
    <row r="72" ht="26.2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</row>
    <row r="73" ht="26.2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</row>
    <row r="74" ht="26.2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</row>
    <row r="75" ht="26.2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</row>
    <row r="76" ht="26.2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</row>
    <row r="77" ht="26.2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</row>
    <row r="78" ht="26.2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</row>
    <row r="79" ht="26.2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</row>
    <row r="80" ht="26.2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</row>
    <row r="81" ht="26.25" customHeight="1">
      <c r="A81" s="452"/>
      <c r="B81" s="453"/>
      <c r="C81" s="453"/>
      <c r="D81" s="453"/>
      <c r="E81" s="453"/>
      <c r="F81" s="460"/>
      <c r="G81" s="460"/>
      <c r="H81" s="453"/>
      <c r="I81" s="484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</row>
    <row r="82" ht="26.2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</row>
    <row r="83" ht="26.2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</row>
    <row r="84" ht="26.2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</row>
    <row r="85" ht="26.2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</row>
    <row r="86" ht="26.2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</row>
    <row r="87" ht="26.2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</row>
    <row r="88" ht="26.2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</row>
    <row r="89" ht="26.2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</row>
    <row r="90" ht="26.2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</row>
    <row r="91" ht="26.2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</row>
    <row r="92" ht="26.2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</row>
    <row r="93" ht="26.2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</row>
    <row r="94" ht="26.2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</row>
    <row r="95" ht="26.2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</row>
    <row r="96" ht="26.2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</row>
    <row r="97" ht="26.2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</row>
    <row r="98" ht="26.2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</row>
    <row r="99" ht="26.2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</row>
    <row r="100" ht="26.2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</row>
    <row r="101" ht="26.2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</row>
    <row r="102" ht="26.2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</row>
    <row r="103" ht="26.2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</row>
    <row r="104" ht="26.2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</row>
    <row r="105" ht="26.2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</row>
    <row r="106" ht="26.2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</row>
    <row r="107" ht="26.2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</row>
    <row r="108" ht="26.2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</row>
    <row r="109" ht="26.2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</row>
    <row r="110" ht="26.2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</row>
    <row r="111" ht="26.2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</row>
    <row r="112" ht="26.2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</row>
    <row r="113" ht="26.2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</row>
    <row r="114" ht="26.2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</row>
    <row r="115" ht="26.2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</row>
    <row r="116" ht="26.2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</row>
    <row r="117" ht="26.2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</row>
    <row r="118" ht="26.2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</row>
    <row r="119" ht="26.2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</row>
    <row r="120" ht="26.2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</row>
    <row r="121" ht="26.2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</row>
    <row r="122" ht="26.2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</row>
    <row r="123" ht="26.2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</row>
    <row r="124" ht="26.2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</row>
    <row r="125" ht="26.2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</row>
    <row r="126" ht="26.2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</row>
    <row r="127" ht="26.2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</row>
    <row r="128" ht="26.2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</row>
    <row r="129" ht="26.2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</row>
    <row r="130" ht="26.2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</row>
    <row r="131" ht="26.2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</row>
    <row r="132" ht="26.2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</row>
    <row r="133" ht="26.2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</row>
    <row r="134" ht="26.2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</row>
    <row r="135" ht="26.2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</row>
    <row r="136" ht="26.2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</row>
    <row r="137" ht="26.2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</row>
    <row r="138" ht="26.2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</row>
    <row r="139" ht="26.2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</row>
    <row r="140" ht="26.2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</row>
    <row r="141" ht="26.2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</row>
    <row r="142" ht="26.2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</row>
    <row r="143" ht="26.2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</row>
    <row r="144" ht="26.2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</row>
    <row r="145" ht="26.2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</row>
    <row r="146" ht="26.2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</row>
    <row r="147" ht="26.2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</row>
    <row r="148" ht="26.2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</row>
    <row r="149" ht="26.2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</row>
    <row r="150" ht="26.2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</row>
    <row r="151" ht="26.2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</row>
    <row r="152" ht="26.2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</row>
    <row r="153" ht="26.2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</row>
    <row r="154" ht="26.2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</row>
    <row r="155" ht="26.2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</row>
    <row r="156" ht="26.2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</row>
    <row r="157" ht="26.2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</row>
    <row r="158" ht="26.2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</row>
    <row r="159" ht="26.2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</row>
    <row r="160" ht="26.2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</row>
    <row r="161" ht="26.2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</row>
    <row r="162" ht="26.2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</row>
    <row r="163" ht="26.2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</row>
    <row r="164" ht="26.2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</row>
    <row r="165" ht="26.2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</row>
    <row r="166" ht="26.2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</row>
    <row r="167" ht="26.2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</row>
    <row r="168" ht="26.2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</row>
    <row r="169" ht="26.2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</row>
    <row r="170" ht="26.2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</row>
    <row r="171" ht="26.25" customHeight="1">
      <c r="A171" s="452"/>
      <c r="B171" s="453"/>
      <c r="C171" s="485"/>
      <c r="D171" s="453"/>
      <c r="E171" s="485"/>
      <c r="F171" s="486"/>
      <c r="G171" s="486"/>
      <c r="H171" s="485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</row>
    <row r="172" ht="26.25" customHeight="1">
      <c r="A172" s="452"/>
      <c r="B172" s="485"/>
      <c r="C172" s="485"/>
      <c r="D172" s="485"/>
      <c r="E172" s="485"/>
      <c r="F172" s="486"/>
      <c r="G172" s="486"/>
      <c r="H172" s="485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</row>
    <row r="173" ht="26.25" customHeight="1">
      <c r="A173" s="452"/>
      <c r="B173" s="485"/>
      <c r="C173" s="485"/>
      <c r="D173" s="485"/>
      <c r="E173" s="485"/>
      <c r="F173" s="486"/>
      <c r="G173" s="486"/>
      <c r="H173" s="485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</row>
    <row r="174" ht="26.25" customHeight="1">
      <c r="A174" s="452"/>
      <c r="B174" s="485"/>
      <c r="C174" s="485"/>
      <c r="D174" s="485"/>
      <c r="E174" s="485"/>
      <c r="F174" s="486"/>
      <c r="G174" s="486"/>
      <c r="H174" s="485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</row>
    <row r="175" ht="26.25" customHeight="1">
      <c r="A175" s="452"/>
      <c r="B175" s="485"/>
      <c r="C175" s="485"/>
      <c r="D175" s="485"/>
      <c r="E175" s="485"/>
      <c r="F175" s="486"/>
      <c r="G175" s="486"/>
      <c r="H175" s="485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</row>
    <row r="176" ht="26.25" customHeight="1">
      <c r="A176" s="452"/>
      <c r="B176" s="485"/>
      <c r="C176" s="485"/>
      <c r="D176" s="485"/>
      <c r="E176" s="485"/>
      <c r="F176" s="486"/>
      <c r="G176" s="486"/>
      <c r="H176" s="485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</row>
    <row r="177" ht="26.25" customHeight="1">
      <c r="A177" s="452"/>
      <c r="B177" s="485"/>
      <c r="C177" s="485"/>
      <c r="D177" s="485"/>
      <c r="E177" s="485"/>
      <c r="F177" s="486"/>
      <c r="G177" s="486"/>
      <c r="H177" s="485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</row>
    <row r="178" ht="26.25" customHeight="1">
      <c r="A178" s="452"/>
      <c r="B178" s="485"/>
      <c r="C178" s="485"/>
      <c r="D178" s="485"/>
      <c r="E178" s="485"/>
      <c r="F178" s="486"/>
      <c r="G178" s="486"/>
      <c r="H178" s="485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</row>
    <row r="179" ht="26.25" customHeight="1">
      <c r="A179" s="452"/>
      <c r="B179" s="485"/>
      <c r="C179" s="485"/>
      <c r="D179" s="485"/>
      <c r="E179" s="485"/>
      <c r="F179" s="486"/>
      <c r="G179" s="486"/>
      <c r="H179" s="485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</row>
    <row r="180" ht="26.25" customHeight="1">
      <c r="A180" s="452"/>
      <c r="B180" s="485"/>
      <c r="C180" s="485"/>
      <c r="D180" s="485"/>
      <c r="E180" s="485"/>
      <c r="F180" s="486"/>
      <c r="G180" s="486"/>
      <c r="H180" s="485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</row>
    <row r="181" ht="26.25" customHeight="1">
      <c r="A181" s="452"/>
      <c r="B181" s="485"/>
      <c r="C181" s="485"/>
      <c r="D181" s="485"/>
      <c r="E181" s="485"/>
      <c r="F181" s="486"/>
      <c r="G181" s="486"/>
      <c r="H181" s="485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</row>
    <row r="182" ht="26.25" customHeight="1">
      <c r="A182" s="452"/>
      <c r="B182" s="485"/>
      <c r="C182" s="485"/>
      <c r="D182" s="485"/>
      <c r="E182" s="485"/>
      <c r="F182" s="486"/>
      <c r="G182" s="486"/>
      <c r="H182" s="485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</row>
    <row r="183" ht="26.25" customHeight="1">
      <c r="A183" s="452"/>
      <c r="B183" s="485"/>
      <c r="C183" s="485"/>
      <c r="D183" s="485"/>
      <c r="E183" s="485"/>
      <c r="F183" s="486"/>
      <c r="G183" s="486"/>
      <c r="H183" s="485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</row>
    <row r="184" ht="26.25" customHeight="1">
      <c r="A184" s="452"/>
      <c r="B184" s="485"/>
      <c r="C184" s="485"/>
      <c r="D184" s="485"/>
      <c r="E184" s="485"/>
      <c r="F184" s="486"/>
      <c r="G184" s="486"/>
      <c r="H184" s="485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</row>
    <row r="185" ht="26.25" customHeight="1">
      <c r="A185" s="452"/>
      <c r="B185" s="485"/>
      <c r="C185" s="485"/>
      <c r="D185" s="485"/>
      <c r="E185" s="485"/>
      <c r="F185" s="486"/>
      <c r="G185" s="486"/>
      <c r="H185" s="485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</row>
    <row r="186" ht="26.25" customHeight="1">
      <c r="A186" s="452"/>
      <c r="B186" s="485"/>
      <c r="C186" s="485"/>
      <c r="D186" s="485"/>
      <c r="E186" s="485"/>
      <c r="F186" s="486"/>
      <c r="G186" s="486"/>
      <c r="H186" s="485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</row>
    <row r="187" ht="26.25" customHeight="1">
      <c r="A187" s="452"/>
      <c r="B187" s="485"/>
      <c r="C187" s="485"/>
      <c r="D187" s="485"/>
      <c r="E187" s="485"/>
      <c r="F187" s="486"/>
      <c r="G187" s="486"/>
      <c r="H187" s="485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</row>
    <row r="188" ht="26.25" customHeight="1">
      <c r="A188" s="452"/>
      <c r="B188" s="485"/>
      <c r="C188" s="485"/>
      <c r="D188" s="485"/>
      <c r="E188" s="485"/>
      <c r="F188" s="486"/>
      <c r="G188" s="486"/>
      <c r="H188" s="485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</row>
    <row r="189" ht="26.25" customHeight="1">
      <c r="A189" s="452"/>
      <c r="B189" s="485"/>
      <c r="C189" s="485"/>
      <c r="D189" s="485"/>
      <c r="E189" s="485"/>
      <c r="F189" s="486"/>
      <c r="G189" s="486"/>
      <c r="H189" s="485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</row>
    <row r="190" ht="26.25" customHeight="1">
      <c r="A190" s="452"/>
      <c r="B190" s="487"/>
      <c r="C190" s="487"/>
      <c r="D190" s="487"/>
      <c r="E190" s="487"/>
      <c r="F190" s="488"/>
      <c r="G190" s="488"/>
      <c r="H190" s="487"/>
      <c r="I190" s="489"/>
      <c r="J190" s="489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</row>
    <row r="191" ht="26.25" customHeight="1">
      <c r="A191" s="452"/>
      <c r="B191" s="487"/>
      <c r="C191" s="487"/>
      <c r="D191" s="487"/>
      <c r="E191" s="487"/>
      <c r="F191" s="488"/>
      <c r="G191" s="488"/>
      <c r="H191" s="487"/>
      <c r="I191" s="489"/>
      <c r="J191" s="489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5"/>
      <c r="W191" s="455"/>
      <c r="X191" s="452"/>
      <c r="Y191" s="452"/>
      <c r="Z191" s="452"/>
    </row>
    <row r="192" ht="26.25" customHeight="1">
      <c r="A192" s="452"/>
      <c r="B192" s="487"/>
      <c r="C192" s="487"/>
      <c r="D192" s="487"/>
      <c r="E192" s="487"/>
      <c r="F192" s="488"/>
      <c r="G192" s="488"/>
      <c r="H192" s="487"/>
      <c r="I192" s="489"/>
      <c r="J192" s="489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5"/>
      <c r="W192" s="455"/>
      <c r="X192" s="452"/>
      <c r="Y192" s="452"/>
      <c r="Z192" s="452"/>
    </row>
    <row r="193" ht="26.25" customHeight="1">
      <c r="A193" s="452"/>
      <c r="B193" s="487"/>
      <c r="C193" s="487"/>
      <c r="D193" s="487"/>
      <c r="E193" s="487"/>
      <c r="F193" s="488"/>
      <c r="G193" s="488"/>
      <c r="H193" s="487"/>
      <c r="I193" s="489"/>
      <c r="J193" s="489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5"/>
      <c r="W193" s="455"/>
      <c r="X193" s="452"/>
      <c r="Y193" s="452"/>
      <c r="Z193" s="452"/>
    </row>
    <row r="194" ht="26.25" customHeight="1">
      <c r="A194" s="452"/>
      <c r="B194" s="487"/>
      <c r="C194" s="487"/>
      <c r="D194" s="487"/>
      <c r="E194" s="487"/>
      <c r="F194" s="488"/>
      <c r="G194" s="488"/>
      <c r="H194" s="487"/>
      <c r="I194" s="489"/>
      <c r="J194" s="489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5"/>
      <c r="W194" s="455"/>
      <c r="X194" s="452"/>
      <c r="Y194" s="452"/>
      <c r="Z194" s="452"/>
    </row>
    <row r="195" ht="26.25" customHeight="1">
      <c r="A195" s="452"/>
      <c r="B195" s="490"/>
      <c r="C195" s="490"/>
      <c r="D195" s="490"/>
      <c r="E195" s="490"/>
      <c r="F195" s="491"/>
      <c r="G195" s="491"/>
      <c r="H195" s="490"/>
      <c r="I195" s="492"/>
      <c r="J195" s="492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5"/>
      <c r="W195" s="455"/>
      <c r="X195" s="452"/>
      <c r="Y195" s="452"/>
      <c r="Z195" s="452"/>
    </row>
    <row r="196" ht="26.25" customHeight="1">
      <c r="A196" s="452"/>
      <c r="B196" s="490"/>
      <c r="C196" s="490"/>
      <c r="D196" s="490"/>
      <c r="E196" s="490"/>
      <c r="F196" s="491"/>
      <c r="G196" s="491"/>
      <c r="H196" s="490"/>
      <c r="I196" s="492"/>
      <c r="J196" s="492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5"/>
      <c r="W196" s="455"/>
      <c r="X196" s="452"/>
      <c r="Y196" s="452"/>
      <c r="Z196" s="452"/>
    </row>
    <row r="197" ht="26.25" customHeight="1">
      <c r="A197" s="452"/>
      <c r="B197" s="490"/>
      <c r="C197" s="490"/>
      <c r="D197" s="490"/>
      <c r="E197" s="490"/>
      <c r="F197" s="491"/>
      <c r="G197" s="491"/>
      <c r="H197" s="490"/>
      <c r="I197" s="492"/>
      <c r="J197" s="492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5"/>
      <c r="W197" s="455"/>
      <c r="X197" s="452"/>
      <c r="Y197" s="452"/>
      <c r="Z197" s="452"/>
    </row>
    <row r="198" ht="26.25" customHeight="1">
      <c r="A198" s="452"/>
      <c r="B198" s="490"/>
      <c r="C198" s="490"/>
      <c r="D198" s="490"/>
      <c r="E198" s="490"/>
      <c r="F198" s="491"/>
      <c r="G198" s="491"/>
      <c r="H198" s="490"/>
      <c r="I198" s="492"/>
      <c r="J198" s="492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5"/>
      <c r="W198" s="455"/>
      <c r="X198" s="452"/>
      <c r="Y198" s="452"/>
      <c r="Z198" s="452"/>
    </row>
    <row r="199" ht="26.25" customHeight="1">
      <c r="A199" s="452"/>
      <c r="B199" s="490"/>
      <c r="C199" s="490"/>
      <c r="D199" s="490"/>
      <c r="E199" s="490"/>
      <c r="F199" s="491"/>
      <c r="G199" s="491"/>
      <c r="H199" s="490"/>
      <c r="I199" s="492"/>
      <c r="J199" s="492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5"/>
      <c r="W199" s="455"/>
      <c r="X199" s="452"/>
      <c r="Y199" s="452"/>
      <c r="Z199" s="452"/>
    </row>
    <row r="200" ht="26.25" customHeight="1">
      <c r="A200" s="452"/>
      <c r="B200" s="490"/>
      <c r="C200" s="490"/>
      <c r="D200" s="490"/>
      <c r="E200" s="490"/>
      <c r="F200" s="491"/>
      <c r="G200" s="491"/>
      <c r="H200" s="490"/>
      <c r="I200" s="492"/>
      <c r="J200" s="492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5"/>
      <c r="W200" s="455"/>
      <c r="X200" s="452"/>
      <c r="Y200" s="452"/>
      <c r="Z200" s="452"/>
    </row>
    <row r="201" ht="26.25" customHeight="1">
      <c r="A201" s="452"/>
      <c r="B201" s="490"/>
      <c r="C201" s="490"/>
      <c r="D201" s="490"/>
      <c r="E201" s="490"/>
      <c r="F201" s="491"/>
      <c r="G201" s="491"/>
      <c r="H201" s="490"/>
      <c r="I201" s="492"/>
      <c r="J201" s="492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5"/>
      <c r="W201" s="455"/>
      <c r="X201" s="452"/>
      <c r="Y201" s="452"/>
      <c r="Z201" s="452"/>
    </row>
    <row r="202" ht="26.25" customHeight="1">
      <c r="A202" s="452"/>
      <c r="B202" s="490"/>
      <c r="C202" s="490"/>
      <c r="D202" s="490"/>
      <c r="E202" s="490"/>
      <c r="F202" s="491"/>
      <c r="G202" s="491"/>
      <c r="H202" s="490"/>
      <c r="I202" s="492"/>
      <c r="J202" s="492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5"/>
      <c r="W202" s="455"/>
      <c r="X202" s="452"/>
      <c r="Y202" s="452"/>
      <c r="Z202" s="452"/>
    </row>
    <row r="203" ht="26.25" customHeight="1">
      <c r="A203" s="452"/>
      <c r="B203" s="490"/>
      <c r="C203" s="490"/>
      <c r="D203" s="490"/>
      <c r="E203" s="490"/>
      <c r="F203" s="491"/>
      <c r="G203" s="491"/>
      <c r="H203" s="490"/>
      <c r="I203" s="492"/>
      <c r="J203" s="492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5"/>
      <c r="W203" s="455"/>
      <c r="X203" s="452"/>
      <c r="Y203" s="452"/>
      <c r="Z203" s="452"/>
    </row>
    <row r="204" ht="26.25" customHeight="1">
      <c r="A204" s="452"/>
      <c r="B204" s="490"/>
      <c r="C204" s="490"/>
      <c r="D204" s="490"/>
      <c r="E204" s="490"/>
      <c r="F204" s="491"/>
      <c r="G204" s="491"/>
      <c r="H204" s="490"/>
      <c r="I204" s="492"/>
      <c r="J204" s="492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5"/>
      <c r="W204" s="455"/>
      <c r="X204" s="452"/>
      <c r="Y204" s="452"/>
      <c r="Z204" s="452"/>
    </row>
    <row r="205" ht="26.25" customHeight="1">
      <c r="A205" s="452"/>
      <c r="B205" s="490"/>
      <c r="C205" s="490"/>
      <c r="D205" s="490"/>
      <c r="E205" s="490"/>
      <c r="F205" s="491"/>
      <c r="G205" s="491"/>
      <c r="H205" s="490"/>
      <c r="I205" s="492"/>
      <c r="J205" s="492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5"/>
      <c r="W205" s="455"/>
      <c r="X205" s="452"/>
      <c r="Y205" s="452"/>
      <c r="Z205" s="452"/>
    </row>
    <row r="206" ht="26.25" customHeight="1">
      <c r="A206" s="452"/>
      <c r="B206" s="490"/>
      <c r="C206" s="490"/>
      <c r="D206" s="490"/>
      <c r="E206" s="490"/>
      <c r="F206" s="491"/>
      <c r="G206" s="491"/>
      <c r="H206" s="490"/>
      <c r="I206" s="492"/>
      <c r="J206" s="492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5"/>
      <c r="W206" s="455"/>
      <c r="X206" s="452"/>
      <c r="Y206" s="452"/>
      <c r="Z206" s="452"/>
    </row>
    <row r="207" ht="26.25" customHeight="1">
      <c r="A207" s="452"/>
      <c r="B207" s="490"/>
      <c r="C207" s="490"/>
      <c r="D207" s="490"/>
      <c r="E207" s="490"/>
      <c r="F207" s="491"/>
      <c r="G207" s="491"/>
      <c r="H207" s="490"/>
      <c r="I207" s="492"/>
      <c r="J207" s="492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5"/>
      <c r="W207" s="455"/>
      <c r="X207" s="452"/>
      <c r="Y207" s="452"/>
      <c r="Z207" s="452"/>
    </row>
    <row r="208" ht="26.25" customHeight="1">
      <c r="A208" s="452"/>
      <c r="B208" s="490"/>
      <c r="C208" s="490"/>
      <c r="D208" s="490"/>
      <c r="E208" s="490"/>
      <c r="F208" s="491"/>
      <c r="G208" s="491"/>
      <c r="H208" s="490"/>
      <c r="I208" s="492"/>
      <c r="J208" s="492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5"/>
      <c r="W208" s="455"/>
      <c r="X208" s="452"/>
      <c r="Y208" s="452"/>
      <c r="Z208" s="452"/>
    </row>
    <row r="209" ht="26.25" customHeight="1">
      <c r="A209" s="452"/>
      <c r="B209" s="490"/>
      <c r="C209" s="490"/>
      <c r="D209" s="490"/>
      <c r="E209" s="490"/>
      <c r="F209" s="491"/>
      <c r="G209" s="491"/>
      <c r="H209" s="490"/>
      <c r="I209" s="492"/>
      <c r="J209" s="492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5"/>
      <c r="W209" s="455"/>
      <c r="X209" s="452"/>
      <c r="Y209" s="452"/>
      <c r="Z209" s="452"/>
    </row>
    <row r="210" ht="26.25" customHeight="1">
      <c r="A210" s="452"/>
      <c r="B210" s="490"/>
      <c r="C210" s="490"/>
      <c r="D210" s="490"/>
      <c r="E210" s="490"/>
      <c r="F210" s="491"/>
      <c r="G210" s="491"/>
      <c r="H210" s="490"/>
      <c r="I210" s="492"/>
      <c r="J210" s="492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5"/>
      <c r="W210" s="455"/>
      <c r="X210" s="452"/>
      <c r="Y210" s="452"/>
      <c r="Z210" s="452"/>
    </row>
    <row r="211" ht="26.25" customHeight="1">
      <c r="A211" s="452"/>
      <c r="B211" s="490"/>
      <c r="C211" s="490"/>
      <c r="D211" s="490"/>
      <c r="E211" s="490"/>
      <c r="F211" s="491"/>
      <c r="G211" s="491"/>
      <c r="H211" s="490"/>
      <c r="I211" s="492"/>
      <c r="J211" s="492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5"/>
      <c r="W211" s="455"/>
      <c r="X211" s="452"/>
      <c r="Y211" s="452"/>
      <c r="Z211" s="452"/>
    </row>
    <row r="212" ht="26.25" customHeight="1">
      <c r="A212" s="452"/>
      <c r="B212" s="490"/>
      <c r="C212" s="490"/>
      <c r="D212" s="490"/>
      <c r="E212" s="490"/>
      <c r="F212" s="491"/>
      <c r="G212" s="491"/>
      <c r="H212" s="490"/>
      <c r="I212" s="492"/>
      <c r="J212" s="492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5"/>
      <c r="W212" s="455"/>
      <c r="X212" s="452"/>
      <c r="Y212" s="452"/>
      <c r="Z212" s="452"/>
    </row>
    <row r="213" ht="26.25" customHeight="1">
      <c r="A213" s="452"/>
      <c r="B213" s="490"/>
      <c r="C213" s="490"/>
      <c r="D213" s="490"/>
      <c r="E213" s="490"/>
      <c r="F213" s="491"/>
      <c r="G213" s="491"/>
      <c r="H213" s="490"/>
      <c r="I213" s="492"/>
      <c r="J213" s="492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5"/>
      <c r="W213" s="455"/>
      <c r="X213" s="452"/>
      <c r="Y213" s="452"/>
      <c r="Z213" s="452"/>
    </row>
    <row r="214" ht="26.25" customHeight="1">
      <c r="A214" s="452"/>
      <c r="B214" s="490"/>
      <c r="C214" s="490"/>
      <c r="D214" s="490"/>
      <c r="E214" s="490"/>
      <c r="F214" s="491"/>
      <c r="G214" s="491"/>
      <c r="H214" s="490"/>
      <c r="I214" s="492"/>
      <c r="J214" s="492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5"/>
      <c r="W214" s="455"/>
      <c r="X214" s="452"/>
      <c r="Y214" s="452"/>
      <c r="Z214" s="452"/>
    </row>
    <row r="215" ht="26.25" customHeight="1">
      <c r="A215" s="452"/>
      <c r="B215" s="490"/>
      <c r="C215" s="490"/>
      <c r="D215" s="490"/>
      <c r="E215" s="490"/>
      <c r="F215" s="491"/>
      <c r="G215" s="491"/>
      <c r="H215" s="490"/>
      <c r="I215" s="492"/>
      <c r="J215" s="492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5"/>
      <c r="W215" s="455"/>
      <c r="X215" s="452"/>
      <c r="Y215" s="452"/>
      <c r="Z215" s="452"/>
    </row>
    <row r="216" ht="26.25" customHeight="1">
      <c r="A216" s="452"/>
      <c r="B216" s="490"/>
      <c r="C216" s="490"/>
      <c r="D216" s="490"/>
      <c r="E216" s="490"/>
      <c r="F216" s="491"/>
      <c r="G216" s="491"/>
      <c r="H216" s="490"/>
      <c r="I216" s="492"/>
      <c r="J216" s="492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5"/>
      <c r="W216" s="455"/>
      <c r="X216" s="452"/>
      <c r="Y216" s="452"/>
      <c r="Z216" s="452"/>
    </row>
    <row r="217" ht="26.25" customHeight="1">
      <c r="A217" s="452"/>
      <c r="B217" s="490"/>
      <c r="C217" s="490"/>
      <c r="D217" s="490"/>
      <c r="E217" s="490"/>
      <c r="F217" s="491"/>
      <c r="G217" s="491"/>
      <c r="H217" s="490"/>
      <c r="I217" s="492"/>
      <c r="J217" s="492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5"/>
      <c r="W217" s="455"/>
      <c r="X217" s="452"/>
      <c r="Y217" s="452"/>
      <c r="Z217" s="452"/>
    </row>
    <row r="218" ht="26.25" customHeight="1">
      <c r="A218" s="452"/>
      <c r="B218" s="490"/>
      <c r="C218" s="490"/>
      <c r="D218" s="490"/>
      <c r="E218" s="490"/>
      <c r="F218" s="491"/>
      <c r="G218" s="491"/>
      <c r="H218" s="490"/>
      <c r="I218" s="492"/>
      <c r="J218" s="492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5"/>
      <c r="W218" s="455"/>
      <c r="X218" s="452"/>
      <c r="Y218" s="452"/>
      <c r="Z218" s="452"/>
    </row>
    <row r="219" ht="26.25" customHeight="1">
      <c r="A219" s="452"/>
      <c r="B219" s="490"/>
      <c r="C219" s="490"/>
      <c r="D219" s="490"/>
      <c r="E219" s="490"/>
      <c r="F219" s="491"/>
      <c r="G219" s="491"/>
      <c r="H219" s="490"/>
      <c r="I219" s="492"/>
      <c r="J219" s="492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5"/>
      <c r="W219" s="455"/>
      <c r="X219" s="452"/>
      <c r="Y219" s="452"/>
      <c r="Z219" s="452"/>
    </row>
    <row r="220" ht="26.25" customHeight="1">
      <c r="A220" s="452"/>
      <c r="B220" s="490"/>
      <c r="C220" s="490"/>
      <c r="D220" s="490"/>
      <c r="E220" s="490"/>
      <c r="F220" s="491"/>
      <c r="G220" s="491"/>
      <c r="H220" s="490"/>
      <c r="I220" s="492"/>
      <c r="J220" s="492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5"/>
      <c r="W220" s="455"/>
      <c r="X220" s="452"/>
      <c r="Y220" s="452"/>
      <c r="Z220" s="452"/>
    </row>
    <row r="221" ht="26.25" customHeight="1">
      <c r="A221" s="452"/>
      <c r="B221" s="490"/>
      <c r="C221" s="490"/>
      <c r="D221" s="490"/>
      <c r="E221" s="490"/>
      <c r="F221" s="491"/>
      <c r="G221" s="491"/>
      <c r="H221" s="490"/>
      <c r="I221" s="492"/>
      <c r="J221" s="492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5"/>
      <c r="W221" s="455"/>
      <c r="X221" s="452"/>
      <c r="Y221" s="452"/>
      <c r="Z221" s="452"/>
    </row>
    <row r="222" ht="26.25" customHeight="1">
      <c r="A222" s="452"/>
      <c r="B222" s="490"/>
      <c r="C222" s="490"/>
      <c r="D222" s="490"/>
      <c r="E222" s="490"/>
      <c r="F222" s="491"/>
      <c r="G222" s="491"/>
      <c r="H222" s="490"/>
      <c r="I222" s="492"/>
      <c r="J222" s="492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5"/>
      <c r="W222" s="455"/>
      <c r="X222" s="452"/>
      <c r="Y222" s="452"/>
      <c r="Z222" s="452"/>
    </row>
    <row r="223" ht="26.25" customHeight="1">
      <c r="A223" s="452"/>
      <c r="B223" s="490"/>
      <c r="C223" s="490"/>
      <c r="D223" s="490"/>
      <c r="E223" s="490"/>
      <c r="F223" s="491"/>
      <c r="G223" s="491"/>
      <c r="H223" s="490"/>
      <c r="I223" s="492"/>
      <c r="J223" s="492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5"/>
      <c r="W223" s="455"/>
      <c r="X223" s="452"/>
      <c r="Y223" s="452"/>
      <c r="Z223" s="452"/>
    </row>
    <row r="224" ht="26.25" customHeight="1">
      <c r="A224" s="452"/>
      <c r="B224" s="490"/>
      <c r="C224" s="490"/>
      <c r="D224" s="490"/>
      <c r="E224" s="490"/>
      <c r="F224" s="491"/>
      <c r="G224" s="491"/>
      <c r="H224" s="490"/>
      <c r="I224" s="492"/>
      <c r="J224" s="492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5"/>
      <c r="W224" s="455"/>
      <c r="X224" s="452"/>
      <c r="Y224" s="452"/>
      <c r="Z224" s="452"/>
    </row>
    <row r="225" ht="26.25" customHeight="1">
      <c r="A225" s="452"/>
      <c r="B225" s="490"/>
      <c r="C225" s="490"/>
      <c r="D225" s="490"/>
      <c r="E225" s="490"/>
      <c r="F225" s="491"/>
      <c r="G225" s="491"/>
      <c r="H225" s="490"/>
      <c r="I225" s="492"/>
      <c r="J225" s="492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5"/>
      <c r="W225" s="455"/>
      <c r="X225" s="452"/>
      <c r="Y225" s="452"/>
      <c r="Z225" s="452"/>
    </row>
    <row r="226" ht="26.25" customHeight="1">
      <c r="A226" s="343"/>
      <c r="B226" s="455"/>
      <c r="C226" s="455"/>
      <c r="D226" s="455"/>
      <c r="E226" s="455"/>
      <c r="F226" s="493"/>
      <c r="G226" s="493"/>
      <c r="H226" s="472"/>
      <c r="I226" s="472"/>
      <c r="J226" s="472"/>
      <c r="K226" s="454"/>
      <c r="L226" s="454"/>
      <c r="M226" s="454"/>
      <c r="N226" s="454"/>
      <c r="O226" s="454"/>
      <c r="P226" s="454"/>
      <c r="Q226" s="454"/>
      <c r="R226" s="343"/>
      <c r="S226" s="343"/>
      <c r="T226" s="343"/>
      <c r="U226" s="343"/>
      <c r="V226" s="343"/>
      <c r="W226" s="343"/>
      <c r="X226" s="343"/>
      <c r="Y226" s="343"/>
      <c r="Z226" s="343"/>
    </row>
    <row r="227" ht="15.0" customHeight="1">
      <c r="A227" s="343"/>
      <c r="B227" s="455"/>
      <c r="C227" s="455"/>
      <c r="D227" s="455"/>
      <c r="E227" s="455"/>
      <c r="F227" s="494"/>
      <c r="G227" s="494"/>
      <c r="H227" s="455"/>
      <c r="I227" s="343"/>
      <c r="J227" s="343"/>
      <c r="K227" s="343"/>
      <c r="L227" s="343"/>
      <c r="M227" s="343"/>
      <c r="N227" s="343"/>
      <c r="O227" s="343"/>
      <c r="P227" s="343"/>
      <c r="Q227" s="343"/>
      <c r="R227" s="343"/>
      <c r="S227" s="343"/>
      <c r="T227" s="343"/>
      <c r="U227" s="343"/>
      <c r="V227" s="343"/>
      <c r="W227" s="343"/>
      <c r="X227" s="343"/>
      <c r="Y227" s="343"/>
      <c r="Z227" s="343"/>
    </row>
    <row r="228" ht="12.75" customHeight="1">
      <c r="A228" s="343"/>
      <c r="B228" s="343"/>
      <c r="C228" s="343"/>
      <c r="D228" s="343"/>
      <c r="E228" s="343"/>
      <c r="F228" s="495"/>
      <c r="G228" s="495"/>
      <c r="H228" s="343"/>
      <c r="I228" s="343"/>
      <c r="J228" s="343"/>
      <c r="K228" s="343"/>
      <c r="L228" s="343"/>
      <c r="M228" s="343"/>
      <c r="N228" s="343"/>
      <c r="O228" s="343"/>
      <c r="P228" s="343"/>
      <c r="Q228" s="343"/>
      <c r="R228" s="343"/>
      <c r="S228" s="343"/>
      <c r="T228" s="343"/>
      <c r="U228" s="343"/>
      <c r="V228" s="343"/>
      <c r="W228" s="343"/>
      <c r="X228" s="343"/>
      <c r="Y228" s="343"/>
      <c r="Z228" s="343"/>
    </row>
    <row r="229" ht="12.75" customHeight="1">
      <c r="A229" s="343"/>
      <c r="B229" s="343"/>
      <c r="C229" s="343"/>
      <c r="D229" s="343"/>
      <c r="E229" s="343"/>
      <c r="F229" s="495"/>
      <c r="G229" s="495"/>
      <c r="H229" s="343"/>
      <c r="I229" s="343"/>
      <c r="J229" s="343"/>
      <c r="K229" s="343"/>
      <c r="L229" s="343"/>
      <c r="M229" s="343"/>
      <c r="N229" s="343"/>
      <c r="O229" s="343"/>
      <c r="P229" s="343"/>
      <c r="Q229" s="343"/>
      <c r="R229" s="343"/>
      <c r="S229" s="343"/>
      <c r="T229" s="343"/>
      <c r="U229" s="343"/>
      <c r="V229" s="343"/>
      <c r="W229" s="343"/>
      <c r="X229" s="343"/>
      <c r="Y229" s="343"/>
      <c r="Z229" s="343"/>
    </row>
    <row r="230" ht="12.75" customHeight="1">
      <c r="A230" s="343"/>
      <c r="B230" s="343"/>
      <c r="C230" s="343"/>
      <c r="D230" s="343"/>
      <c r="E230" s="343"/>
      <c r="F230" s="495"/>
      <c r="G230" s="495"/>
      <c r="H230" s="343"/>
      <c r="I230" s="343"/>
      <c r="J230" s="343"/>
      <c r="K230" s="343"/>
      <c r="L230" s="343"/>
      <c r="M230" s="343"/>
      <c r="N230" s="343"/>
      <c r="O230" s="343"/>
      <c r="P230" s="343"/>
      <c r="Q230" s="343"/>
      <c r="R230" s="343"/>
      <c r="S230" s="343"/>
      <c r="T230" s="343"/>
      <c r="U230" s="343"/>
      <c r="V230" s="343"/>
      <c r="W230" s="343"/>
      <c r="X230" s="343"/>
      <c r="Y230" s="343"/>
      <c r="Z230" s="343"/>
    </row>
    <row r="231" ht="18.75" customHeight="1">
      <c r="A231" s="139"/>
      <c r="B231" s="343"/>
      <c r="C231" s="343"/>
      <c r="D231" s="343"/>
      <c r="E231" s="343"/>
      <c r="F231" s="495"/>
      <c r="G231" s="495"/>
      <c r="H231" s="343"/>
      <c r="I231" s="343"/>
      <c r="J231" s="343"/>
      <c r="K231" s="343"/>
      <c r="L231" s="343"/>
      <c r="M231" s="343"/>
      <c r="N231" s="343"/>
      <c r="O231" s="343"/>
      <c r="P231" s="343"/>
      <c r="Q231" s="343"/>
      <c r="R231" s="343"/>
      <c r="S231" s="343"/>
      <c r="T231" s="343"/>
      <c r="U231" s="343"/>
      <c r="V231" s="343"/>
      <c r="W231" s="343"/>
      <c r="X231" s="343"/>
      <c r="Y231" s="343"/>
      <c r="Z231" s="343"/>
    </row>
    <row r="232" ht="12.75" customHeight="1">
      <c r="A232" s="343"/>
      <c r="B232" s="343"/>
      <c r="C232" s="343"/>
      <c r="D232" s="343"/>
      <c r="E232" s="343"/>
      <c r="F232" s="495"/>
      <c r="G232" s="495"/>
      <c r="H232" s="343"/>
      <c r="I232" s="343"/>
      <c r="J232" s="343"/>
      <c r="K232" s="343"/>
      <c r="L232" s="343"/>
      <c r="M232" s="343"/>
      <c r="N232" s="343"/>
      <c r="O232" s="343"/>
      <c r="P232" s="343"/>
      <c r="Q232" s="343"/>
      <c r="R232" s="343"/>
      <c r="S232" s="343"/>
      <c r="T232" s="343"/>
      <c r="U232" s="343"/>
      <c r="V232" s="343"/>
      <c r="W232" s="343"/>
      <c r="X232" s="343"/>
      <c r="Y232" s="343"/>
      <c r="Z232" s="343"/>
    </row>
    <row r="233" ht="32.25" customHeight="1">
      <c r="A233" s="343"/>
      <c r="B233" s="472"/>
      <c r="C233" s="496"/>
      <c r="D233" s="496"/>
      <c r="E233" s="496"/>
      <c r="F233" s="497"/>
      <c r="G233" s="497"/>
      <c r="H233" s="472"/>
      <c r="I233" s="472"/>
      <c r="J233" s="472"/>
      <c r="K233" s="343"/>
      <c r="L233" s="343"/>
      <c r="M233" s="343"/>
      <c r="N233" s="343"/>
      <c r="O233" s="343"/>
      <c r="P233" s="343"/>
      <c r="Q233" s="343"/>
      <c r="R233" s="343"/>
      <c r="S233" s="343"/>
      <c r="T233" s="343"/>
      <c r="U233" s="343"/>
      <c r="V233" s="343"/>
      <c r="W233" s="343"/>
      <c r="X233" s="343"/>
      <c r="Y233" s="343"/>
      <c r="Z233" s="343"/>
    </row>
    <row r="234" ht="15.75" customHeight="1">
      <c r="A234" s="498"/>
      <c r="B234" s="453"/>
      <c r="C234" s="453"/>
      <c r="D234" s="453"/>
      <c r="E234" s="453"/>
      <c r="F234" s="460"/>
      <c r="G234" s="460"/>
      <c r="H234" s="453"/>
      <c r="I234" s="466"/>
      <c r="J234" s="466"/>
      <c r="K234" s="343"/>
      <c r="L234" s="343"/>
      <c r="M234" s="343"/>
      <c r="N234" s="343"/>
      <c r="O234" s="499"/>
      <c r="P234" s="499"/>
      <c r="Q234" s="499"/>
      <c r="R234" s="343"/>
      <c r="S234" s="343"/>
      <c r="T234" s="343"/>
      <c r="U234" s="343"/>
      <c r="V234" s="343"/>
      <c r="W234" s="343"/>
      <c r="X234" s="343"/>
      <c r="Y234" s="343"/>
      <c r="Z234" s="343"/>
    </row>
    <row r="235" ht="15.75" customHeight="1">
      <c r="A235" s="498"/>
      <c r="B235" s="453"/>
      <c r="C235" s="453"/>
      <c r="D235" s="453"/>
      <c r="E235" s="453"/>
      <c r="F235" s="460"/>
      <c r="G235" s="460"/>
      <c r="H235" s="453"/>
      <c r="I235" s="466"/>
      <c r="J235" s="466"/>
      <c r="K235" s="343"/>
      <c r="L235" s="343"/>
      <c r="M235" s="343"/>
      <c r="N235" s="343"/>
      <c r="O235" s="499"/>
      <c r="P235" s="499"/>
      <c r="Q235" s="499"/>
      <c r="R235" s="343"/>
      <c r="S235" s="343"/>
      <c r="T235" s="343"/>
      <c r="U235" s="343"/>
      <c r="V235" s="343"/>
      <c r="W235" s="343"/>
      <c r="X235" s="490"/>
      <c r="Y235" s="490"/>
      <c r="Z235" s="343"/>
    </row>
    <row r="236" ht="15.75" customHeight="1">
      <c r="A236" s="498"/>
      <c r="B236" s="453"/>
      <c r="C236" s="453"/>
      <c r="D236" s="453"/>
      <c r="E236" s="453"/>
      <c r="F236" s="460"/>
      <c r="G236" s="460"/>
      <c r="H236" s="453"/>
      <c r="I236" s="466"/>
      <c r="J236" s="466"/>
      <c r="K236" s="343"/>
      <c r="L236" s="343"/>
      <c r="M236" s="343"/>
      <c r="N236" s="343"/>
      <c r="O236" s="499"/>
      <c r="P236" s="499"/>
      <c r="Q236" s="499"/>
      <c r="R236" s="343"/>
      <c r="S236" s="343"/>
      <c r="T236" s="343"/>
      <c r="U236" s="343"/>
      <c r="V236" s="343"/>
      <c r="W236" s="343"/>
      <c r="X236" s="490"/>
      <c r="Y236" s="490"/>
      <c r="Z236" s="343"/>
    </row>
    <row r="237" ht="15.75" customHeight="1">
      <c r="A237" s="498"/>
      <c r="B237" s="453"/>
      <c r="C237" s="453"/>
      <c r="D237" s="453"/>
      <c r="E237" s="453"/>
      <c r="F237" s="460"/>
      <c r="G237" s="460"/>
      <c r="H237" s="453"/>
      <c r="I237" s="466"/>
      <c r="J237" s="466"/>
      <c r="K237" s="343"/>
      <c r="L237" s="343"/>
      <c r="M237" s="343"/>
      <c r="N237" s="343"/>
      <c r="O237" s="499"/>
      <c r="P237" s="499"/>
      <c r="Q237" s="499"/>
      <c r="R237" s="343"/>
      <c r="S237" s="343"/>
      <c r="T237" s="343"/>
      <c r="U237" s="343"/>
      <c r="V237" s="343"/>
      <c r="W237" s="343"/>
      <c r="X237" s="490"/>
      <c r="Y237" s="490"/>
      <c r="Z237" s="343"/>
    </row>
    <row r="238" ht="15.75" customHeight="1">
      <c r="A238" s="498"/>
      <c r="B238" s="453"/>
      <c r="C238" s="453"/>
      <c r="D238" s="453"/>
      <c r="E238" s="453"/>
      <c r="F238" s="460"/>
      <c r="G238" s="460"/>
      <c r="H238" s="453"/>
      <c r="I238" s="466"/>
      <c r="J238" s="466"/>
      <c r="K238" s="343"/>
      <c r="L238" s="343"/>
      <c r="M238" s="343"/>
      <c r="N238" s="343"/>
      <c r="O238" s="499"/>
      <c r="P238" s="499"/>
      <c r="Q238" s="499"/>
      <c r="R238" s="343"/>
      <c r="S238" s="343"/>
      <c r="T238" s="343"/>
      <c r="U238" s="343"/>
      <c r="V238" s="343"/>
      <c r="W238" s="343"/>
      <c r="X238" s="343"/>
      <c r="Y238" s="343"/>
      <c r="Z238" s="343"/>
    </row>
    <row r="239" ht="15.75" customHeight="1">
      <c r="A239" s="498"/>
      <c r="B239" s="453"/>
      <c r="C239" s="453"/>
      <c r="D239" s="453"/>
      <c r="E239" s="453"/>
      <c r="F239" s="460"/>
      <c r="G239" s="460"/>
      <c r="H239" s="453"/>
      <c r="I239" s="466"/>
      <c r="J239" s="466"/>
      <c r="K239" s="343"/>
      <c r="L239" s="343"/>
      <c r="M239" s="343"/>
      <c r="N239" s="343"/>
      <c r="O239" s="499"/>
      <c r="P239" s="499"/>
      <c r="Q239" s="499"/>
      <c r="R239" s="343"/>
      <c r="S239" s="343"/>
      <c r="T239" s="343"/>
      <c r="U239" s="343"/>
      <c r="V239" s="343"/>
      <c r="W239" s="343"/>
      <c r="X239" s="343"/>
      <c r="Y239" s="343"/>
      <c r="Z239" s="343"/>
    </row>
    <row r="240" ht="18.75" customHeight="1">
      <c r="A240" s="498"/>
      <c r="B240" s="453"/>
      <c r="C240" s="453"/>
      <c r="D240" s="453"/>
      <c r="E240" s="453"/>
      <c r="F240" s="460"/>
      <c r="G240" s="460"/>
      <c r="H240" s="453"/>
      <c r="I240" s="466"/>
      <c r="J240" s="466"/>
      <c r="K240" s="343"/>
      <c r="L240" s="343"/>
      <c r="M240" s="343"/>
      <c r="N240" s="343"/>
      <c r="O240" s="499"/>
      <c r="P240" s="499"/>
      <c r="Q240" s="499"/>
      <c r="R240" s="343"/>
      <c r="S240" s="343"/>
      <c r="T240" s="343"/>
      <c r="U240" s="343"/>
      <c r="V240" s="343"/>
      <c r="W240" s="343"/>
      <c r="X240" s="343"/>
      <c r="Y240" s="343"/>
      <c r="Z240" s="343"/>
    </row>
    <row r="241" ht="18.0" customHeight="1">
      <c r="A241" s="498"/>
      <c r="B241" s="453"/>
      <c r="C241" s="453"/>
      <c r="D241" s="453"/>
      <c r="E241" s="453"/>
      <c r="F241" s="460"/>
      <c r="G241" s="460"/>
      <c r="H241" s="453"/>
      <c r="I241" s="466"/>
      <c r="J241" s="466"/>
      <c r="K241" s="343"/>
      <c r="L241" s="343"/>
      <c r="M241" s="343"/>
      <c r="N241" s="343"/>
      <c r="O241" s="499"/>
      <c r="P241" s="499"/>
      <c r="Q241" s="499"/>
      <c r="R241" s="343"/>
      <c r="S241" s="343"/>
      <c r="T241" s="343"/>
      <c r="U241" s="343"/>
      <c r="V241" s="343"/>
      <c r="W241" s="343"/>
      <c r="X241" s="343"/>
      <c r="Y241" s="343"/>
      <c r="Z241" s="343"/>
    </row>
    <row r="242" ht="18.0" customHeight="1">
      <c r="A242" s="498"/>
      <c r="B242" s="453"/>
      <c r="C242" s="453"/>
      <c r="D242" s="453"/>
      <c r="E242" s="453"/>
      <c r="F242" s="460"/>
      <c r="G242" s="460"/>
      <c r="H242" s="453"/>
      <c r="I242" s="466"/>
      <c r="J242" s="466"/>
      <c r="K242" s="343"/>
      <c r="L242" s="343"/>
      <c r="M242" s="343"/>
      <c r="N242" s="343"/>
      <c r="O242" s="499"/>
      <c r="P242" s="499"/>
      <c r="Q242" s="499"/>
      <c r="R242" s="343"/>
      <c r="S242" s="343"/>
      <c r="T242" s="343"/>
      <c r="U242" s="343"/>
      <c r="V242" s="343"/>
      <c r="W242" s="343"/>
      <c r="X242" s="343"/>
      <c r="Y242" s="343"/>
      <c r="Z242" s="343"/>
    </row>
    <row r="243" ht="18.0" customHeight="1">
      <c r="A243" s="498"/>
      <c r="B243" s="453"/>
      <c r="C243" s="453"/>
      <c r="D243" s="453"/>
      <c r="E243" s="453"/>
      <c r="F243" s="460"/>
      <c r="G243" s="460"/>
      <c r="H243" s="453"/>
      <c r="I243" s="466"/>
      <c r="J243" s="466"/>
      <c r="K243" s="343"/>
      <c r="L243" s="343"/>
      <c r="M243" s="343"/>
      <c r="N243" s="343"/>
      <c r="O243" s="343"/>
      <c r="P243" s="343"/>
      <c r="Q243" s="343"/>
      <c r="R243" s="343"/>
      <c r="S243" s="343"/>
      <c r="T243" s="343"/>
      <c r="U243" s="343"/>
      <c r="V243" s="343"/>
      <c r="W243" s="500"/>
      <c r="X243" s="343"/>
      <c r="Y243" s="343"/>
      <c r="Z243" s="343"/>
    </row>
    <row r="244" ht="15.75" customHeight="1">
      <c r="A244" s="498"/>
      <c r="B244" s="343"/>
      <c r="C244" s="343"/>
      <c r="D244" s="343"/>
      <c r="E244" s="343"/>
      <c r="F244" s="497"/>
      <c r="G244" s="497"/>
      <c r="H244" s="343"/>
      <c r="I244" s="501"/>
      <c r="J244" s="501"/>
      <c r="K244" s="343"/>
      <c r="L244" s="343"/>
      <c r="M244" s="343"/>
      <c r="N244" s="343"/>
      <c r="O244" s="343"/>
      <c r="P244" s="343"/>
      <c r="Q244" s="343"/>
      <c r="R244" s="343"/>
      <c r="S244" s="343"/>
      <c r="T244" s="343"/>
      <c r="U244" s="343"/>
      <c r="V244" s="343"/>
      <c r="W244" s="500"/>
      <c r="X244" s="343"/>
      <c r="Y244" s="343"/>
      <c r="Z244" s="343"/>
    </row>
    <row r="245" ht="12.75" customHeight="1">
      <c r="A245" s="343"/>
      <c r="B245" s="343"/>
      <c r="C245" s="343"/>
      <c r="D245" s="343"/>
      <c r="E245" s="343"/>
      <c r="F245" s="495"/>
      <c r="G245" s="495"/>
      <c r="H245" s="343"/>
      <c r="I245" s="343"/>
      <c r="J245" s="343"/>
      <c r="K245" s="343"/>
      <c r="L245" s="343"/>
      <c r="M245" s="343"/>
      <c r="N245" s="343"/>
      <c r="O245" s="343"/>
      <c r="P245" s="343"/>
      <c r="Q245" s="343"/>
      <c r="R245" s="343"/>
      <c r="S245" s="343"/>
      <c r="T245" s="343"/>
      <c r="U245" s="343"/>
      <c r="V245" s="343"/>
      <c r="W245" s="500"/>
      <c r="X245" s="343"/>
      <c r="Y245" s="343"/>
      <c r="Z245" s="343"/>
    </row>
    <row r="246" ht="12.75" customHeight="1">
      <c r="A246" s="343"/>
      <c r="B246" s="343"/>
      <c r="C246" s="343"/>
      <c r="D246" s="343"/>
      <c r="E246" s="343"/>
      <c r="F246" s="495"/>
      <c r="G246" s="495"/>
      <c r="H246" s="343"/>
      <c r="I246" s="343"/>
      <c r="J246" s="343"/>
      <c r="K246" s="343"/>
      <c r="L246" s="343"/>
      <c r="M246" s="343"/>
      <c r="N246" s="343"/>
      <c r="O246" s="343"/>
      <c r="P246" s="343"/>
      <c r="Q246" s="343"/>
      <c r="R246" s="343"/>
      <c r="S246" s="343"/>
      <c r="T246" s="343"/>
      <c r="U246" s="343"/>
      <c r="V246" s="343"/>
      <c r="W246" s="500"/>
      <c r="X246" s="343"/>
      <c r="Y246" s="343"/>
      <c r="Z246" s="343"/>
    </row>
    <row r="247" ht="12.75" customHeight="1">
      <c r="A247" s="343"/>
      <c r="B247" s="343"/>
      <c r="C247" s="343"/>
      <c r="D247" s="343"/>
      <c r="E247" s="343"/>
      <c r="F247" s="495"/>
      <c r="G247" s="495"/>
      <c r="H247" s="343"/>
      <c r="I247" s="343"/>
      <c r="J247" s="343"/>
      <c r="K247" s="343"/>
      <c r="L247" s="343"/>
      <c r="M247" s="343"/>
      <c r="N247" s="343"/>
      <c r="O247" s="343"/>
      <c r="P247" s="343"/>
      <c r="Q247" s="343"/>
      <c r="R247" s="343"/>
      <c r="S247" s="343"/>
      <c r="T247" s="343"/>
      <c r="U247" s="343"/>
      <c r="V247" s="343"/>
      <c r="W247" s="500"/>
      <c r="X247" s="343"/>
      <c r="Y247" s="343"/>
      <c r="Z247" s="343"/>
    </row>
    <row r="248" ht="18.75" customHeight="1">
      <c r="A248" s="139"/>
      <c r="B248" s="343"/>
      <c r="C248" s="343"/>
      <c r="D248" s="343"/>
      <c r="E248" s="343"/>
      <c r="F248" s="495"/>
      <c r="G248" s="495"/>
      <c r="H248" s="343"/>
      <c r="I248" s="343"/>
      <c r="J248" s="343"/>
      <c r="K248" s="343"/>
      <c r="L248" s="343"/>
      <c r="M248" s="343"/>
      <c r="N248" s="343"/>
      <c r="O248" s="343"/>
      <c r="P248" s="343"/>
      <c r="Q248" s="343"/>
      <c r="R248" s="343"/>
      <c r="S248" s="343"/>
      <c r="T248" s="343"/>
      <c r="U248" s="343"/>
      <c r="V248" s="343"/>
      <c r="W248" s="500"/>
      <c r="X248" s="343"/>
      <c r="Y248" s="343"/>
      <c r="Z248" s="343"/>
    </row>
    <row r="249" ht="12.75" customHeight="1">
      <c r="A249" s="343"/>
      <c r="B249" s="343"/>
      <c r="C249" s="343"/>
      <c r="D249" s="343"/>
      <c r="E249" s="343"/>
      <c r="F249" s="495"/>
      <c r="G249" s="495"/>
      <c r="H249" s="343"/>
      <c r="I249" s="343"/>
      <c r="J249" s="343"/>
      <c r="K249" s="343"/>
      <c r="L249" s="343"/>
      <c r="M249" s="343"/>
      <c r="N249" s="343"/>
      <c r="O249" s="343"/>
      <c r="P249" s="343"/>
      <c r="Q249" s="343"/>
      <c r="R249" s="343"/>
      <c r="S249" s="343"/>
      <c r="T249" s="343"/>
      <c r="U249" s="343"/>
      <c r="V249" s="343"/>
      <c r="W249" s="500"/>
      <c r="X249" s="343"/>
      <c r="Y249" s="343"/>
      <c r="Z249" s="343"/>
    </row>
    <row r="250" ht="33.75" customHeight="1">
      <c r="A250" s="343"/>
      <c r="B250" s="472"/>
      <c r="C250" s="496"/>
      <c r="D250" s="496"/>
      <c r="E250" s="496"/>
      <c r="F250" s="497"/>
      <c r="G250" s="497"/>
      <c r="H250" s="472"/>
      <c r="I250" s="472"/>
      <c r="J250" s="472"/>
      <c r="K250" s="343"/>
      <c r="L250" s="343"/>
      <c r="M250" s="343"/>
      <c r="N250" s="343"/>
      <c r="O250" s="343"/>
      <c r="P250" s="343"/>
      <c r="Q250" s="343"/>
      <c r="R250" s="343"/>
      <c r="S250" s="343"/>
      <c r="T250" s="343"/>
      <c r="U250" s="343"/>
      <c r="V250" s="343"/>
      <c r="W250" s="500"/>
      <c r="X250" s="343"/>
      <c r="Y250" s="343"/>
      <c r="Z250" s="343"/>
    </row>
    <row r="251" ht="15.75" customHeight="1">
      <c r="A251" s="498"/>
      <c r="B251" s="502"/>
      <c r="C251" s="501"/>
      <c r="D251" s="501"/>
      <c r="E251" s="501"/>
      <c r="F251" s="503"/>
      <c r="G251" s="503"/>
      <c r="H251" s="501"/>
      <c r="I251" s="501"/>
      <c r="J251" s="501"/>
      <c r="K251" s="343"/>
      <c r="L251" s="343"/>
      <c r="M251" s="343"/>
      <c r="N251" s="343"/>
      <c r="O251" s="343"/>
      <c r="P251" s="343"/>
      <c r="Q251" s="343"/>
      <c r="R251" s="343"/>
      <c r="S251" s="343"/>
      <c r="T251" s="343"/>
      <c r="U251" s="343"/>
      <c r="V251" s="343"/>
      <c r="W251" s="500"/>
      <c r="X251" s="343"/>
      <c r="Y251" s="343"/>
      <c r="Z251" s="343"/>
    </row>
    <row r="252" ht="15.75" customHeight="1">
      <c r="A252" s="498"/>
      <c r="B252" s="502"/>
      <c r="C252" s="501"/>
      <c r="D252" s="501"/>
      <c r="E252" s="501"/>
      <c r="F252" s="503"/>
      <c r="G252" s="503"/>
      <c r="H252" s="501"/>
      <c r="I252" s="501"/>
      <c r="J252" s="501"/>
      <c r="K252" s="343"/>
      <c r="L252" s="343"/>
      <c r="M252" s="343"/>
      <c r="N252" s="343"/>
      <c r="O252" s="343"/>
      <c r="P252" s="343"/>
      <c r="Q252" s="343"/>
      <c r="R252" s="343"/>
      <c r="S252" s="343"/>
      <c r="T252" s="343"/>
      <c r="U252" s="343"/>
      <c r="V252" s="343"/>
      <c r="W252" s="500"/>
      <c r="X252" s="343"/>
      <c r="Y252" s="343"/>
      <c r="Z252" s="343"/>
    </row>
    <row r="253" ht="15.75" customHeight="1">
      <c r="A253" s="498"/>
      <c r="B253" s="502"/>
      <c r="C253" s="501"/>
      <c r="D253" s="501"/>
      <c r="E253" s="501"/>
      <c r="F253" s="503"/>
      <c r="G253" s="503"/>
      <c r="H253" s="501"/>
      <c r="I253" s="501"/>
      <c r="J253" s="501"/>
      <c r="K253" s="343"/>
      <c r="L253" s="343"/>
      <c r="M253" s="343"/>
      <c r="N253" s="343"/>
      <c r="O253" s="343"/>
      <c r="P253" s="343"/>
      <c r="Q253" s="343"/>
      <c r="R253" s="343"/>
      <c r="S253" s="343"/>
      <c r="T253" s="343"/>
      <c r="U253" s="343"/>
      <c r="V253" s="343"/>
      <c r="W253" s="500"/>
      <c r="X253" s="343"/>
      <c r="Y253" s="343"/>
      <c r="Z253" s="343"/>
    </row>
    <row r="254" ht="15.75" customHeight="1">
      <c r="A254" s="498"/>
      <c r="B254" s="502"/>
      <c r="C254" s="501"/>
      <c r="D254" s="501"/>
      <c r="E254" s="501"/>
      <c r="F254" s="504"/>
      <c r="G254" s="504"/>
      <c r="H254" s="501"/>
      <c r="I254" s="501"/>
      <c r="J254" s="501"/>
      <c r="K254" s="343"/>
      <c r="L254" s="343"/>
      <c r="M254" s="343"/>
      <c r="N254" s="343"/>
      <c r="O254" s="343"/>
      <c r="P254" s="343"/>
      <c r="Q254" s="343"/>
      <c r="R254" s="343"/>
      <c r="S254" s="343"/>
      <c r="T254" s="343"/>
      <c r="U254" s="343"/>
      <c r="V254" s="343"/>
      <c r="W254" s="495"/>
      <c r="X254" s="343"/>
      <c r="Y254" s="343"/>
      <c r="Z254" s="343"/>
    </row>
    <row r="255" ht="15.75" customHeight="1">
      <c r="A255" s="498"/>
      <c r="B255" s="502"/>
      <c r="C255" s="501"/>
      <c r="D255" s="501"/>
      <c r="E255" s="501"/>
      <c r="F255" s="504"/>
      <c r="G255" s="504"/>
      <c r="H255" s="501"/>
      <c r="I255" s="501"/>
      <c r="J255" s="501"/>
      <c r="K255" s="343"/>
      <c r="L255" s="343"/>
      <c r="M255" s="343"/>
      <c r="N255" s="343"/>
      <c r="O255" s="343"/>
      <c r="P255" s="343"/>
      <c r="Q255" s="343"/>
      <c r="R255" s="343"/>
      <c r="S255" s="343"/>
      <c r="T255" s="343"/>
      <c r="U255" s="343"/>
      <c r="V255" s="343"/>
      <c r="W255" s="500"/>
      <c r="X255" s="343"/>
      <c r="Y255" s="343"/>
      <c r="Z255" s="343"/>
    </row>
    <row r="256" ht="15.75" customHeight="1">
      <c r="A256" s="498"/>
      <c r="B256" s="502"/>
      <c r="C256" s="505"/>
      <c r="D256" s="501"/>
      <c r="E256" s="501"/>
      <c r="F256" s="504"/>
      <c r="G256" s="504"/>
      <c r="H256" s="501"/>
      <c r="I256" s="501"/>
      <c r="J256" s="501"/>
      <c r="K256" s="343"/>
      <c r="L256" s="343"/>
      <c r="M256" s="343"/>
      <c r="N256" s="343"/>
      <c r="O256" s="343"/>
      <c r="P256" s="343"/>
      <c r="Q256" s="343"/>
      <c r="R256" s="343"/>
      <c r="S256" s="343"/>
      <c r="T256" s="343"/>
      <c r="U256" s="343"/>
      <c r="V256" s="343"/>
      <c r="W256" s="500"/>
      <c r="X256" s="343"/>
      <c r="Y256" s="343"/>
      <c r="Z256" s="343"/>
    </row>
    <row r="257" ht="15.75" customHeight="1">
      <c r="A257" s="343"/>
      <c r="B257" s="343"/>
      <c r="C257" s="343"/>
      <c r="D257" s="343"/>
      <c r="E257" s="343"/>
      <c r="F257" s="497"/>
      <c r="G257" s="497"/>
      <c r="H257" s="343"/>
      <c r="I257" s="501"/>
      <c r="J257" s="501"/>
      <c r="K257" s="343"/>
      <c r="L257" s="343"/>
      <c r="M257" s="343"/>
      <c r="N257" s="343"/>
      <c r="O257" s="343"/>
      <c r="P257" s="343"/>
      <c r="Q257" s="343"/>
      <c r="R257" s="343"/>
      <c r="S257" s="343"/>
      <c r="T257" s="343"/>
      <c r="U257" s="343"/>
      <c r="V257" s="343"/>
      <c r="W257" s="500"/>
      <c r="X257" s="343"/>
      <c r="Y257" s="343"/>
      <c r="Z257" s="343"/>
    </row>
    <row r="258" ht="12.75" customHeight="1">
      <c r="A258" s="343"/>
      <c r="B258" s="343"/>
      <c r="C258" s="343"/>
      <c r="D258" s="343"/>
      <c r="E258" s="343"/>
      <c r="F258" s="495"/>
      <c r="G258" s="495"/>
      <c r="H258" s="343"/>
      <c r="I258" s="343"/>
      <c r="J258" s="343"/>
      <c r="K258" s="343"/>
      <c r="L258" s="343"/>
      <c r="M258" s="343"/>
      <c r="N258" s="343"/>
      <c r="O258" s="343"/>
      <c r="P258" s="343"/>
      <c r="Q258" s="343"/>
      <c r="R258" s="343"/>
      <c r="S258" s="343"/>
      <c r="T258" s="343"/>
      <c r="U258" s="343"/>
      <c r="V258" s="343"/>
      <c r="W258" s="500"/>
      <c r="X258" s="343"/>
      <c r="Y258" s="343"/>
      <c r="Z258" s="343"/>
    </row>
    <row r="259" ht="12.75" customHeight="1">
      <c r="A259" s="343"/>
      <c r="B259" s="343"/>
      <c r="C259" s="343"/>
      <c r="D259" s="343"/>
      <c r="E259" s="343"/>
      <c r="F259" s="495"/>
      <c r="G259" s="495"/>
      <c r="H259" s="343"/>
      <c r="I259" s="343"/>
      <c r="J259" s="343"/>
      <c r="K259" s="343"/>
      <c r="L259" s="343"/>
      <c r="M259" s="343"/>
      <c r="N259" s="343"/>
      <c r="O259" s="343"/>
      <c r="P259" s="343"/>
      <c r="Q259" s="343"/>
      <c r="R259" s="343"/>
      <c r="S259" s="343"/>
      <c r="T259" s="343"/>
      <c r="U259" s="343"/>
      <c r="V259" s="343"/>
      <c r="W259" s="500"/>
      <c r="X259" s="343"/>
      <c r="Y259" s="343"/>
      <c r="Z259" s="343"/>
    </row>
    <row r="260" ht="12.75" customHeight="1">
      <c r="A260" s="343"/>
      <c r="B260" s="343"/>
      <c r="C260" s="343"/>
      <c r="D260" s="343"/>
      <c r="E260" s="343"/>
      <c r="F260" s="495"/>
      <c r="G260" s="495"/>
      <c r="H260" s="343"/>
      <c r="I260" s="343"/>
      <c r="J260" s="343"/>
      <c r="K260" s="343"/>
      <c r="L260" s="343"/>
      <c r="M260" s="343"/>
      <c r="N260" s="343"/>
      <c r="O260" s="343"/>
      <c r="P260" s="343"/>
      <c r="Q260" s="343"/>
      <c r="R260" s="343"/>
      <c r="S260" s="343"/>
      <c r="T260" s="343"/>
      <c r="U260" s="343"/>
      <c r="V260" s="343"/>
      <c r="W260" s="500"/>
      <c r="X260" s="343"/>
      <c r="Y260" s="343"/>
      <c r="Z260" s="343"/>
    </row>
    <row r="261" ht="19.5" customHeight="1">
      <c r="A261" s="506"/>
      <c r="B261" s="343"/>
      <c r="C261" s="343"/>
      <c r="D261" s="343"/>
      <c r="E261" s="343"/>
      <c r="F261" s="495"/>
      <c r="G261" s="495"/>
      <c r="H261" s="343"/>
      <c r="I261" s="343"/>
      <c r="J261" s="343"/>
      <c r="K261" s="343"/>
      <c r="L261" s="343"/>
      <c r="M261" s="343"/>
      <c r="N261" s="343"/>
      <c r="O261" s="343"/>
      <c r="P261" s="343"/>
      <c r="Q261" s="343"/>
      <c r="R261" s="343"/>
      <c r="S261" s="343"/>
      <c r="T261" s="343"/>
      <c r="U261" s="343"/>
      <c r="V261" s="343"/>
      <c r="W261" s="500"/>
      <c r="X261" s="343"/>
      <c r="Y261" s="343"/>
      <c r="Z261" s="343"/>
    </row>
    <row r="262" ht="15.75" customHeight="1">
      <c r="A262" s="507"/>
      <c r="B262" s="453"/>
      <c r="C262" s="453"/>
      <c r="D262" s="453"/>
      <c r="E262" s="453"/>
      <c r="F262" s="508"/>
      <c r="G262" s="508"/>
      <c r="H262" s="453"/>
      <c r="I262" s="507"/>
      <c r="J262" s="507"/>
      <c r="K262" s="507"/>
      <c r="L262" s="507"/>
      <c r="M262" s="507"/>
      <c r="N262" s="507"/>
      <c r="O262" s="507"/>
      <c r="P262" s="507"/>
      <c r="Q262" s="507"/>
      <c r="R262" s="507"/>
      <c r="S262" s="507"/>
      <c r="T262" s="507"/>
      <c r="U262" s="507"/>
      <c r="V262" s="507"/>
      <c r="W262" s="500"/>
      <c r="X262" s="507"/>
      <c r="Y262" s="507"/>
      <c r="Z262" s="507"/>
    </row>
    <row r="263" ht="15.75" customHeight="1">
      <c r="A263" s="472"/>
      <c r="B263" s="472"/>
      <c r="C263" s="472"/>
      <c r="D263" s="472"/>
      <c r="E263" s="472"/>
      <c r="F263" s="509"/>
      <c r="G263" s="509"/>
      <c r="H263" s="472"/>
      <c r="I263" s="343"/>
      <c r="J263" s="343"/>
      <c r="K263" s="343"/>
      <c r="L263" s="343"/>
      <c r="M263" s="343"/>
      <c r="N263" s="343"/>
      <c r="O263" s="343"/>
      <c r="P263" s="343"/>
      <c r="Q263" s="343"/>
      <c r="R263" s="343"/>
      <c r="S263" s="343"/>
      <c r="T263" s="343"/>
      <c r="U263" s="343"/>
      <c r="V263" s="343"/>
      <c r="W263" s="500"/>
      <c r="X263" s="343"/>
      <c r="Y263" s="343"/>
      <c r="Z263" s="343"/>
    </row>
    <row r="264" ht="15.75" customHeight="1">
      <c r="A264" s="472"/>
      <c r="B264" s="472"/>
      <c r="C264" s="510"/>
      <c r="D264" s="511"/>
      <c r="E264" s="511"/>
      <c r="F264" s="512"/>
      <c r="G264" s="512"/>
      <c r="H264" s="511"/>
      <c r="I264" s="343"/>
      <c r="J264" s="343"/>
      <c r="K264" s="343"/>
      <c r="L264" s="343"/>
      <c r="M264" s="343"/>
      <c r="N264" s="343"/>
      <c r="O264" s="343"/>
      <c r="P264" s="343"/>
      <c r="Q264" s="343"/>
      <c r="R264" s="343"/>
      <c r="S264" s="343"/>
      <c r="T264" s="343"/>
      <c r="U264" s="343"/>
      <c r="V264" s="343"/>
      <c r="W264" s="500"/>
      <c r="X264" s="343"/>
      <c r="Y264" s="343"/>
      <c r="Z264" s="343"/>
    </row>
    <row r="265" ht="15.75" customHeight="1">
      <c r="A265" s="472"/>
      <c r="B265" s="498"/>
      <c r="C265" s="513"/>
      <c r="D265" s="513"/>
      <c r="E265" s="513"/>
      <c r="F265" s="514"/>
      <c r="G265" s="514"/>
      <c r="H265" s="513"/>
      <c r="I265" s="343"/>
      <c r="J265" s="343"/>
      <c r="K265" s="343"/>
      <c r="L265" s="343"/>
      <c r="M265" s="343"/>
      <c r="N265" s="343"/>
      <c r="O265" s="343"/>
      <c r="P265" s="343"/>
      <c r="Q265" s="343"/>
      <c r="R265" s="343"/>
      <c r="S265" s="343"/>
      <c r="T265" s="343"/>
      <c r="U265" s="343"/>
      <c r="V265" s="343"/>
      <c r="W265" s="500"/>
      <c r="X265" s="343"/>
      <c r="Y265" s="343"/>
      <c r="Z265" s="343"/>
    </row>
    <row r="266" ht="15.75" customHeight="1">
      <c r="A266" s="343"/>
      <c r="B266" s="343"/>
      <c r="C266" s="343"/>
      <c r="D266" s="454" t="s">
        <v>50</v>
      </c>
      <c r="E266" s="454" t="s">
        <v>48</v>
      </c>
      <c r="F266" s="509">
        <f>+D263+E263+F263+H263</f>
        <v>0</v>
      </c>
      <c r="G266" s="497"/>
      <c r="H266" s="343"/>
      <c r="I266" s="343"/>
      <c r="J266" s="343"/>
      <c r="K266" s="343"/>
      <c r="L266" s="343"/>
      <c r="M266" s="343"/>
      <c r="N266" s="343"/>
      <c r="O266" s="343"/>
      <c r="P266" s="343"/>
      <c r="Q266" s="343"/>
      <c r="R266" s="343"/>
      <c r="S266" s="343"/>
      <c r="T266" s="343"/>
      <c r="U266" s="343"/>
      <c r="V266" s="343"/>
      <c r="W266" s="504"/>
      <c r="X266" s="343"/>
      <c r="Y266" s="343"/>
      <c r="Z266" s="343"/>
    </row>
    <row r="267" ht="15.75" customHeight="1">
      <c r="A267" s="343"/>
      <c r="B267" s="343"/>
      <c r="C267" s="343"/>
      <c r="D267" s="505"/>
      <c r="E267" s="454" t="s">
        <v>49</v>
      </c>
      <c r="F267" s="512" t="str">
        <f>+F266/B263</f>
        <v>#DIV/0!</v>
      </c>
      <c r="G267" s="512"/>
      <c r="H267" s="343"/>
      <c r="I267" s="343"/>
      <c r="J267" s="343"/>
      <c r="K267" s="343"/>
      <c r="L267" s="343"/>
      <c r="M267" s="343"/>
      <c r="N267" s="343"/>
      <c r="O267" s="343"/>
      <c r="P267" s="343"/>
      <c r="Q267" s="343"/>
      <c r="R267" s="343"/>
      <c r="S267" s="343"/>
      <c r="T267" s="343"/>
      <c r="U267" s="343"/>
      <c r="V267" s="343"/>
      <c r="W267" s="504"/>
      <c r="X267" s="343"/>
      <c r="Y267" s="343"/>
      <c r="Z267" s="343"/>
    </row>
    <row r="268" ht="15.75" customHeight="1">
      <c r="A268" s="507"/>
      <c r="B268" s="507"/>
      <c r="C268" s="454" t="s">
        <v>51</v>
      </c>
      <c r="D268" s="507"/>
      <c r="E268" s="507"/>
      <c r="F268" s="515"/>
      <c r="G268" s="515"/>
      <c r="H268" s="507"/>
      <c r="I268" s="343"/>
      <c r="J268" s="343"/>
      <c r="K268" s="343"/>
      <c r="L268" s="343"/>
      <c r="M268" s="343"/>
      <c r="N268" s="343"/>
      <c r="O268" s="343"/>
      <c r="P268" s="343"/>
      <c r="Q268" s="343"/>
      <c r="R268" s="343"/>
      <c r="S268" s="343"/>
      <c r="T268" s="343"/>
      <c r="U268" s="343"/>
      <c r="V268" s="343"/>
      <c r="W268" s="495"/>
      <c r="X268" s="343"/>
      <c r="Y268" s="343"/>
      <c r="Z268" s="343"/>
    </row>
    <row r="269" ht="15.75" customHeight="1">
      <c r="A269" s="507"/>
      <c r="B269" s="507"/>
      <c r="C269" s="507"/>
      <c r="D269" s="454" t="s">
        <v>52</v>
      </c>
      <c r="E269" s="507"/>
      <c r="F269" s="515">
        <f>+F268*(F266-F263)</f>
        <v>0</v>
      </c>
      <c r="G269" s="515"/>
      <c r="H269" s="507"/>
      <c r="I269" s="343"/>
      <c r="J269" s="343"/>
      <c r="K269" s="343"/>
      <c r="L269" s="343"/>
      <c r="M269" s="343"/>
      <c r="N269" s="343"/>
      <c r="O269" s="343"/>
      <c r="P269" s="343"/>
      <c r="Q269" s="343"/>
      <c r="R269" s="343"/>
      <c r="S269" s="343"/>
      <c r="T269" s="343"/>
      <c r="U269" s="343"/>
      <c r="V269" s="343"/>
      <c r="W269" s="343"/>
      <c r="X269" s="343"/>
      <c r="Y269" s="343"/>
      <c r="Z269" s="343"/>
    </row>
    <row r="270" ht="12.75" customHeight="1">
      <c r="A270" s="343"/>
      <c r="B270" s="343"/>
      <c r="C270" s="343"/>
      <c r="D270" s="343"/>
      <c r="E270" s="343"/>
      <c r="F270" s="495"/>
      <c r="G270" s="495"/>
      <c r="H270" s="343"/>
      <c r="I270" s="343"/>
      <c r="J270" s="343"/>
      <c r="K270" s="343"/>
      <c r="L270" s="343"/>
      <c r="M270" s="343"/>
      <c r="N270" s="343"/>
      <c r="O270" s="343"/>
      <c r="P270" s="343"/>
      <c r="Q270" s="343"/>
      <c r="R270" s="343"/>
      <c r="S270" s="343"/>
      <c r="T270" s="343"/>
      <c r="U270" s="343"/>
      <c r="V270" s="343"/>
      <c r="W270" s="343"/>
      <c r="X270" s="343"/>
      <c r="Y270" s="343"/>
      <c r="Z270" s="343"/>
    </row>
    <row r="271" ht="12.75" customHeight="1">
      <c r="A271" s="343"/>
      <c r="B271" s="343"/>
      <c r="C271" s="343"/>
      <c r="D271" s="343"/>
      <c r="E271" s="343"/>
      <c r="F271" s="495"/>
      <c r="G271" s="495"/>
      <c r="H271" s="343"/>
      <c r="I271" s="343"/>
      <c r="J271" s="343"/>
      <c r="K271" s="343"/>
      <c r="L271" s="343"/>
      <c r="M271" s="343"/>
      <c r="N271" s="343"/>
      <c r="O271" s="343"/>
      <c r="P271" s="343"/>
      <c r="Q271" s="343"/>
      <c r="R271" s="343"/>
      <c r="S271" s="343"/>
      <c r="T271" s="343"/>
      <c r="U271" s="343"/>
      <c r="V271" s="343"/>
      <c r="W271" s="343"/>
      <c r="X271" s="343"/>
      <c r="Y271" s="343"/>
      <c r="Z271" s="343"/>
    </row>
    <row r="272" ht="12.75" customHeight="1">
      <c r="A272" s="343"/>
      <c r="B272" s="343"/>
      <c r="C272" s="343"/>
      <c r="D272" s="343"/>
      <c r="E272" s="343"/>
      <c r="F272" s="495"/>
      <c r="G272" s="495"/>
      <c r="H272" s="343"/>
      <c r="I272" s="343"/>
      <c r="J272" s="343"/>
      <c r="K272" s="343"/>
      <c r="L272" s="343"/>
      <c r="M272" s="343"/>
      <c r="N272" s="343"/>
      <c r="O272" s="343"/>
      <c r="P272" s="343"/>
      <c r="Q272" s="343"/>
      <c r="R272" s="343"/>
      <c r="S272" s="343"/>
      <c r="T272" s="343"/>
      <c r="U272" s="343"/>
      <c r="V272" s="343"/>
      <c r="W272" s="343"/>
      <c r="X272" s="343"/>
      <c r="Y272" s="343"/>
      <c r="Z272" s="343"/>
    </row>
    <row r="273" ht="12.75" customHeight="1">
      <c r="A273" s="343"/>
      <c r="B273" s="343"/>
      <c r="C273" s="343"/>
      <c r="D273" s="343"/>
      <c r="E273" s="343"/>
      <c r="F273" s="495"/>
      <c r="G273" s="495"/>
      <c r="H273" s="343"/>
      <c r="I273" s="343"/>
      <c r="J273" s="343"/>
      <c r="K273" s="343"/>
      <c r="L273" s="343"/>
      <c r="M273" s="343"/>
      <c r="N273" s="343"/>
      <c r="O273" s="343"/>
      <c r="P273" s="343"/>
      <c r="Q273" s="343"/>
      <c r="R273" s="343"/>
      <c r="S273" s="343"/>
      <c r="T273" s="343"/>
      <c r="U273" s="343"/>
      <c r="V273" s="343"/>
      <c r="W273" s="343"/>
      <c r="X273" s="343"/>
      <c r="Y273" s="343"/>
      <c r="Z273" s="343"/>
    </row>
    <row r="274" ht="12.75" customHeight="1">
      <c r="A274" s="343"/>
      <c r="B274" s="343"/>
      <c r="C274" s="343"/>
      <c r="D274" s="343"/>
      <c r="E274" s="343"/>
      <c r="F274" s="495"/>
      <c r="G274" s="495"/>
      <c r="H274" s="343"/>
      <c r="I274" s="343"/>
      <c r="J274" s="343"/>
      <c r="K274" s="343"/>
      <c r="L274" s="343"/>
      <c r="M274" s="343"/>
      <c r="N274" s="343"/>
      <c r="O274" s="343"/>
      <c r="P274" s="343"/>
      <c r="Q274" s="343"/>
      <c r="R274" s="343"/>
      <c r="S274" s="343"/>
      <c r="T274" s="343"/>
      <c r="U274" s="343"/>
      <c r="V274" s="343"/>
      <c r="W274" s="343"/>
      <c r="X274" s="343"/>
      <c r="Y274" s="343"/>
      <c r="Z274" s="343"/>
    </row>
    <row r="275" ht="12.75" customHeight="1">
      <c r="A275" s="343"/>
      <c r="B275" s="343"/>
      <c r="C275" s="343"/>
      <c r="D275" s="343"/>
      <c r="E275" s="343"/>
      <c r="F275" s="495"/>
      <c r="G275" s="495"/>
      <c r="H275" s="343"/>
      <c r="I275" s="343"/>
      <c r="J275" s="343"/>
      <c r="K275" s="343"/>
      <c r="L275" s="343"/>
      <c r="M275" s="343"/>
      <c r="N275" s="343"/>
      <c r="O275" s="343"/>
      <c r="P275" s="343"/>
      <c r="Q275" s="343"/>
      <c r="R275" s="343"/>
      <c r="S275" s="343"/>
      <c r="T275" s="343"/>
      <c r="U275" s="343"/>
      <c r="V275" s="343"/>
      <c r="W275" s="343"/>
      <c r="X275" s="343"/>
      <c r="Y275" s="343"/>
      <c r="Z275" s="343"/>
    </row>
    <row r="276" ht="12.75" customHeight="1">
      <c r="A276" s="343"/>
      <c r="B276" s="343"/>
      <c r="C276" s="343"/>
      <c r="D276" s="343"/>
      <c r="E276" s="343"/>
      <c r="F276" s="495"/>
      <c r="G276" s="495"/>
      <c r="H276" s="343"/>
      <c r="I276" s="343"/>
      <c r="J276" s="343"/>
      <c r="K276" s="343"/>
      <c r="L276" s="343"/>
      <c r="M276" s="343"/>
      <c r="N276" s="343"/>
      <c r="O276" s="343"/>
      <c r="P276" s="343"/>
      <c r="Q276" s="343"/>
      <c r="R276" s="343"/>
      <c r="S276" s="343"/>
      <c r="T276" s="343"/>
      <c r="U276" s="343"/>
      <c r="V276" s="343"/>
      <c r="W276" s="343"/>
      <c r="X276" s="343"/>
      <c r="Y276" s="343"/>
      <c r="Z276" s="343"/>
    </row>
    <row r="277" ht="12.75" customHeight="1">
      <c r="A277" s="343"/>
      <c r="B277" s="343"/>
      <c r="C277" s="343"/>
      <c r="D277" s="343"/>
      <c r="E277" s="343"/>
      <c r="F277" s="495"/>
      <c r="G277" s="495"/>
      <c r="H277" s="343"/>
      <c r="I277" s="343"/>
      <c r="J277" s="343"/>
      <c r="K277" s="343"/>
      <c r="L277" s="343"/>
      <c r="M277" s="343"/>
      <c r="N277" s="343"/>
      <c r="O277" s="343"/>
      <c r="P277" s="343"/>
      <c r="Q277" s="343"/>
      <c r="R277" s="343"/>
      <c r="S277" s="343"/>
      <c r="T277" s="343"/>
      <c r="U277" s="343"/>
      <c r="V277" s="343"/>
      <c r="W277" s="343"/>
      <c r="X277" s="343"/>
      <c r="Y277" s="343"/>
      <c r="Z277" s="343"/>
    </row>
    <row r="278" ht="12.75" customHeight="1">
      <c r="A278" s="343"/>
      <c r="B278" s="343"/>
      <c r="C278" s="343"/>
      <c r="D278" s="343"/>
      <c r="E278" s="343"/>
      <c r="F278" s="495"/>
      <c r="G278" s="495"/>
      <c r="H278" s="343"/>
      <c r="I278" s="343"/>
      <c r="J278" s="343"/>
      <c r="K278" s="343"/>
      <c r="L278" s="343"/>
      <c r="M278" s="343"/>
      <c r="N278" s="343"/>
      <c r="O278" s="343"/>
      <c r="P278" s="343"/>
      <c r="Q278" s="343"/>
      <c r="R278" s="343"/>
      <c r="S278" s="343"/>
      <c r="T278" s="343"/>
      <c r="U278" s="343"/>
      <c r="V278" s="343"/>
      <c r="W278" s="343"/>
      <c r="X278" s="343"/>
      <c r="Y278" s="343"/>
      <c r="Z278" s="343"/>
    </row>
    <row r="279" ht="12.75" customHeight="1">
      <c r="A279" s="343"/>
      <c r="B279" s="343"/>
      <c r="C279" s="343"/>
      <c r="D279" s="343"/>
      <c r="E279" s="343"/>
      <c r="F279" s="495"/>
      <c r="G279" s="495"/>
      <c r="H279" s="343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343"/>
      <c r="X279" s="343"/>
      <c r="Y279" s="343"/>
      <c r="Z279" s="343"/>
    </row>
    <row r="280" ht="12.75" customHeight="1">
      <c r="A280" s="343"/>
      <c r="B280" s="343"/>
      <c r="C280" s="343"/>
      <c r="D280" s="343"/>
      <c r="E280" s="343"/>
      <c r="F280" s="495"/>
      <c r="G280" s="495"/>
      <c r="H280" s="343"/>
      <c r="I280" s="343"/>
      <c r="J280" s="343"/>
      <c r="K280" s="343"/>
      <c r="L280" s="343"/>
      <c r="M280" s="343"/>
      <c r="N280" s="343"/>
      <c r="O280" s="343"/>
      <c r="P280" s="343"/>
      <c r="Q280" s="343"/>
      <c r="R280" s="343"/>
      <c r="S280" s="343"/>
      <c r="T280" s="343"/>
      <c r="U280" s="343"/>
      <c r="V280" s="343"/>
      <c r="W280" s="343"/>
      <c r="X280" s="343"/>
      <c r="Y280" s="343"/>
      <c r="Z280" s="343"/>
    </row>
    <row r="281" ht="12.75" customHeight="1">
      <c r="A281" s="343"/>
      <c r="B281" s="343"/>
      <c r="C281" s="343"/>
      <c r="D281" s="343"/>
      <c r="E281" s="343"/>
      <c r="F281" s="495"/>
      <c r="G281" s="495"/>
      <c r="H281" s="343"/>
      <c r="I281" s="343"/>
      <c r="J281" s="343"/>
      <c r="K281" s="343"/>
      <c r="L281" s="343"/>
      <c r="M281" s="343"/>
      <c r="N281" s="343"/>
      <c r="O281" s="343"/>
      <c r="P281" s="343"/>
      <c r="Q281" s="343"/>
      <c r="R281" s="343"/>
      <c r="S281" s="343"/>
      <c r="T281" s="343"/>
      <c r="U281" s="343"/>
      <c r="V281" s="343"/>
      <c r="W281" s="343"/>
      <c r="X281" s="343"/>
      <c r="Y281" s="343"/>
      <c r="Z281" s="343"/>
    </row>
    <row r="282" ht="12.75" customHeight="1">
      <c r="A282" s="343"/>
      <c r="B282" s="343"/>
      <c r="C282" s="343"/>
      <c r="D282" s="343"/>
      <c r="E282" s="343"/>
      <c r="F282" s="495"/>
      <c r="G282" s="495"/>
      <c r="H282" s="343"/>
      <c r="I282" s="343"/>
      <c r="J282" s="343"/>
      <c r="K282" s="343"/>
      <c r="L282" s="343"/>
      <c r="M282" s="343"/>
      <c r="N282" s="343"/>
      <c r="O282" s="343"/>
      <c r="P282" s="343"/>
      <c r="Q282" s="343"/>
      <c r="R282" s="343"/>
      <c r="S282" s="343"/>
      <c r="T282" s="343"/>
      <c r="U282" s="343"/>
      <c r="V282" s="343"/>
      <c r="W282" s="343"/>
      <c r="X282" s="343"/>
      <c r="Y282" s="343"/>
      <c r="Z282" s="343"/>
    </row>
    <row r="283" ht="12.75" customHeight="1">
      <c r="A283" s="343"/>
      <c r="B283" s="343"/>
      <c r="C283" s="343"/>
      <c r="D283" s="343"/>
      <c r="E283" s="343"/>
      <c r="F283" s="495"/>
      <c r="G283" s="495"/>
      <c r="H283" s="343"/>
      <c r="I283" s="343"/>
      <c r="J283" s="343"/>
      <c r="K283" s="343"/>
      <c r="L283" s="343"/>
      <c r="M283" s="343"/>
      <c r="N283" s="343"/>
      <c r="O283" s="343"/>
      <c r="P283" s="343"/>
      <c r="Q283" s="343"/>
      <c r="R283" s="343"/>
      <c r="S283" s="343"/>
      <c r="T283" s="343"/>
      <c r="U283" s="343"/>
      <c r="V283" s="343"/>
      <c r="W283" s="343"/>
      <c r="X283" s="343"/>
      <c r="Y283" s="343"/>
      <c r="Z283" s="343"/>
    </row>
    <row r="284" ht="12.75" customHeight="1">
      <c r="A284" s="343"/>
      <c r="B284" s="343"/>
      <c r="C284" s="343"/>
      <c r="D284" s="343"/>
      <c r="E284" s="343"/>
      <c r="F284" s="495"/>
      <c r="G284" s="495"/>
      <c r="H284" s="343"/>
      <c r="I284" s="343"/>
      <c r="J284" s="343"/>
      <c r="K284" s="343"/>
      <c r="L284" s="343"/>
      <c r="M284" s="343"/>
      <c r="N284" s="343"/>
      <c r="O284" s="343"/>
      <c r="P284" s="343"/>
      <c r="Q284" s="343"/>
      <c r="R284" s="343"/>
      <c r="S284" s="343"/>
      <c r="T284" s="343"/>
      <c r="U284" s="343"/>
      <c r="V284" s="343"/>
      <c r="W284" s="343"/>
      <c r="X284" s="343"/>
      <c r="Y284" s="343"/>
      <c r="Z284" s="343"/>
    </row>
    <row r="285" ht="12.75" customHeight="1">
      <c r="A285" s="343"/>
      <c r="B285" s="343"/>
      <c r="C285" s="343"/>
      <c r="D285" s="343"/>
      <c r="E285" s="343"/>
      <c r="F285" s="495"/>
      <c r="G285" s="495"/>
      <c r="H285" s="343"/>
      <c r="I285" s="343"/>
      <c r="J285" s="343"/>
      <c r="K285" s="343"/>
      <c r="L285" s="343"/>
      <c r="M285" s="343"/>
      <c r="N285" s="343"/>
      <c r="O285" s="343"/>
      <c r="P285" s="343"/>
      <c r="Q285" s="343"/>
      <c r="R285" s="343"/>
      <c r="S285" s="343"/>
      <c r="T285" s="343"/>
      <c r="U285" s="343"/>
      <c r="V285" s="343"/>
      <c r="W285" s="343"/>
      <c r="X285" s="343"/>
      <c r="Y285" s="343"/>
      <c r="Z285" s="343"/>
    </row>
    <row r="286" ht="12.75" customHeight="1">
      <c r="A286" s="343"/>
      <c r="B286" s="343"/>
      <c r="C286" s="343"/>
      <c r="D286" s="343"/>
      <c r="E286" s="343"/>
      <c r="F286" s="495"/>
      <c r="G286" s="495"/>
      <c r="H286" s="343"/>
      <c r="I286" s="343"/>
      <c r="J286" s="343"/>
      <c r="K286" s="343"/>
      <c r="L286" s="343"/>
      <c r="M286" s="343"/>
      <c r="N286" s="343"/>
      <c r="O286" s="343"/>
      <c r="P286" s="343"/>
      <c r="Q286" s="343"/>
      <c r="R286" s="343"/>
      <c r="S286" s="343"/>
      <c r="T286" s="343"/>
      <c r="U286" s="343"/>
      <c r="V286" s="343"/>
      <c r="W286" s="343"/>
      <c r="X286" s="343"/>
      <c r="Y286" s="343"/>
      <c r="Z286" s="343"/>
    </row>
    <row r="287" ht="12.75" customHeight="1">
      <c r="A287" s="343"/>
      <c r="B287" s="343"/>
      <c r="C287" s="343"/>
      <c r="D287" s="343"/>
      <c r="E287" s="343"/>
      <c r="F287" s="495"/>
      <c r="G287" s="495"/>
      <c r="H287" s="343"/>
      <c r="I287" s="343"/>
      <c r="J287" s="343"/>
      <c r="K287" s="343"/>
      <c r="L287" s="343"/>
      <c r="M287" s="343"/>
      <c r="N287" s="343"/>
      <c r="O287" s="343"/>
      <c r="P287" s="343"/>
      <c r="Q287" s="343"/>
      <c r="R287" s="343"/>
      <c r="S287" s="343"/>
      <c r="T287" s="343"/>
      <c r="U287" s="343"/>
      <c r="V287" s="343"/>
      <c r="W287" s="343"/>
      <c r="X287" s="343"/>
      <c r="Y287" s="343"/>
      <c r="Z287" s="343"/>
    </row>
    <row r="288" ht="12.75" customHeight="1">
      <c r="A288" s="343"/>
      <c r="B288" s="343"/>
      <c r="C288" s="343"/>
      <c r="D288" s="343"/>
      <c r="E288" s="343"/>
      <c r="F288" s="495"/>
      <c r="G288" s="495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</row>
    <row r="289" ht="12.75" customHeight="1">
      <c r="A289" s="343"/>
      <c r="B289" s="343"/>
      <c r="C289" s="343"/>
      <c r="D289" s="343"/>
      <c r="E289" s="343"/>
      <c r="F289" s="495"/>
      <c r="G289" s="495"/>
      <c r="H289" s="343"/>
      <c r="I289" s="343"/>
      <c r="J289" s="343"/>
      <c r="K289" s="343"/>
      <c r="L289" s="343"/>
      <c r="M289" s="343"/>
      <c r="N289" s="343"/>
      <c r="O289" s="343"/>
      <c r="P289" s="343"/>
      <c r="Q289" s="343"/>
      <c r="R289" s="343"/>
      <c r="S289" s="343"/>
      <c r="T289" s="343"/>
      <c r="U289" s="343"/>
      <c r="V289" s="343"/>
      <c r="W289" s="343"/>
      <c r="X289" s="343"/>
      <c r="Y289" s="343"/>
      <c r="Z289" s="343"/>
    </row>
    <row r="290" ht="12.75" customHeight="1">
      <c r="A290" s="343"/>
      <c r="B290" s="343"/>
      <c r="C290" s="343"/>
      <c r="D290" s="343"/>
      <c r="E290" s="343"/>
      <c r="F290" s="495"/>
      <c r="G290" s="495"/>
      <c r="H290" s="343"/>
      <c r="I290" s="343"/>
      <c r="J290" s="343"/>
      <c r="K290" s="343"/>
      <c r="L290" s="343"/>
      <c r="M290" s="343"/>
      <c r="N290" s="343"/>
      <c r="O290" s="343"/>
      <c r="P290" s="343"/>
      <c r="Q290" s="343"/>
      <c r="R290" s="343"/>
      <c r="S290" s="343"/>
      <c r="T290" s="343"/>
      <c r="U290" s="343"/>
      <c r="V290" s="343"/>
      <c r="W290" s="343"/>
      <c r="X290" s="343"/>
      <c r="Y290" s="343"/>
      <c r="Z290" s="343"/>
    </row>
    <row r="291" ht="12.75" customHeight="1">
      <c r="A291" s="343"/>
      <c r="B291" s="343"/>
      <c r="C291" s="343"/>
      <c r="D291" s="343"/>
      <c r="E291" s="343"/>
      <c r="F291" s="495"/>
      <c r="G291" s="495"/>
      <c r="H291" s="343"/>
      <c r="I291" s="343"/>
      <c r="J291" s="343"/>
      <c r="K291" s="343"/>
      <c r="L291" s="343"/>
      <c r="M291" s="343"/>
      <c r="N291" s="343"/>
      <c r="O291" s="343"/>
      <c r="P291" s="343"/>
      <c r="Q291" s="343"/>
      <c r="R291" s="343"/>
      <c r="S291" s="343"/>
      <c r="T291" s="343"/>
      <c r="U291" s="343"/>
      <c r="V291" s="343"/>
      <c r="W291" s="343"/>
      <c r="X291" s="343"/>
      <c r="Y291" s="343"/>
      <c r="Z291" s="343"/>
    </row>
    <row r="292" ht="12.75" customHeight="1">
      <c r="A292" s="343"/>
      <c r="B292" s="343"/>
      <c r="C292" s="343"/>
      <c r="D292" s="343"/>
      <c r="E292" s="343"/>
      <c r="F292" s="495"/>
      <c r="G292" s="495"/>
      <c r="H292" s="343"/>
      <c r="I292" s="343"/>
      <c r="J292" s="343"/>
      <c r="K292" s="343"/>
      <c r="L292" s="343"/>
      <c r="M292" s="343"/>
      <c r="N292" s="343"/>
      <c r="O292" s="343"/>
      <c r="P292" s="343"/>
      <c r="Q292" s="343"/>
      <c r="R292" s="343"/>
      <c r="S292" s="343"/>
      <c r="T292" s="343"/>
      <c r="U292" s="343"/>
      <c r="V292" s="343"/>
      <c r="W292" s="343"/>
      <c r="X292" s="343"/>
      <c r="Y292" s="343"/>
      <c r="Z292" s="343"/>
    </row>
    <row r="293" ht="12.75" customHeight="1">
      <c r="A293" s="343"/>
      <c r="B293" s="343"/>
      <c r="C293" s="343"/>
      <c r="D293" s="343"/>
      <c r="E293" s="343"/>
      <c r="F293" s="495"/>
      <c r="G293" s="495"/>
      <c r="H293" s="343"/>
      <c r="I293" s="343"/>
      <c r="J293" s="343"/>
      <c r="K293" s="343"/>
      <c r="L293" s="343"/>
      <c r="M293" s="343"/>
      <c r="N293" s="343"/>
      <c r="O293" s="343"/>
      <c r="P293" s="343"/>
      <c r="Q293" s="343"/>
      <c r="R293" s="343"/>
      <c r="S293" s="343"/>
      <c r="T293" s="343"/>
      <c r="U293" s="343"/>
      <c r="V293" s="343"/>
      <c r="W293" s="343"/>
      <c r="X293" s="343"/>
      <c r="Y293" s="343"/>
      <c r="Z293" s="343"/>
    </row>
    <row r="294" ht="12.75" customHeight="1">
      <c r="A294" s="343"/>
      <c r="B294" s="343"/>
      <c r="C294" s="343"/>
      <c r="D294" s="343"/>
      <c r="E294" s="343"/>
      <c r="F294" s="495"/>
      <c r="G294" s="495"/>
      <c r="H294" s="343"/>
      <c r="I294" s="343"/>
      <c r="J294" s="343"/>
      <c r="K294" s="343"/>
      <c r="L294" s="343"/>
      <c r="M294" s="343"/>
      <c r="N294" s="343"/>
      <c r="O294" s="343"/>
      <c r="P294" s="343"/>
      <c r="Q294" s="343"/>
      <c r="R294" s="343"/>
      <c r="S294" s="343"/>
      <c r="T294" s="343"/>
      <c r="U294" s="343"/>
      <c r="V294" s="343"/>
      <c r="W294" s="343"/>
      <c r="X294" s="343"/>
      <c r="Y294" s="343"/>
      <c r="Z294" s="343"/>
    </row>
    <row r="295" ht="12.75" customHeight="1">
      <c r="A295" s="343"/>
      <c r="B295" s="343"/>
      <c r="C295" s="343"/>
      <c r="D295" s="343"/>
      <c r="E295" s="343"/>
      <c r="F295" s="495"/>
      <c r="G295" s="495"/>
      <c r="H295" s="343"/>
      <c r="I295" s="343"/>
      <c r="J295" s="343"/>
      <c r="K295" s="343"/>
      <c r="L295" s="343"/>
      <c r="M295" s="343"/>
      <c r="N295" s="343"/>
      <c r="O295" s="343"/>
      <c r="P295" s="343"/>
      <c r="Q295" s="343"/>
      <c r="R295" s="343"/>
      <c r="S295" s="343"/>
      <c r="T295" s="343"/>
      <c r="U295" s="343"/>
      <c r="V295" s="343"/>
      <c r="W295" s="343"/>
      <c r="X295" s="343"/>
      <c r="Y295" s="343"/>
      <c r="Z295" s="343"/>
    </row>
    <row r="296" ht="12.75" customHeight="1">
      <c r="A296" s="343"/>
      <c r="B296" s="343"/>
      <c r="C296" s="343"/>
      <c r="D296" s="343"/>
      <c r="E296" s="343"/>
      <c r="F296" s="495"/>
      <c r="G296" s="495"/>
      <c r="H296" s="343"/>
      <c r="I296" s="343"/>
      <c r="J296" s="343"/>
      <c r="K296" s="343"/>
      <c r="L296" s="343"/>
      <c r="M296" s="343"/>
      <c r="N296" s="343"/>
      <c r="O296" s="343"/>
      <c r="P296" s="343"/>
      <c r="Q296" s="343"/>
      <c r="R296" s="343"/>
      <c r="S296" s="343"/>
      <c r="T296" s="343"/>
      <c r="U296" s="343"/>
      <c r="V296" s="343"/>
      <c r="W296" s="343"/>
      <c r="X296" s="343"/>
      <c r="Y296" s="343"/>
      <c r="Z296" s="343"/>
    </row>
    <row r="297" ht="12.75" customHeight="1">
      <c r="A297" s="343"/>
      <c r="B297" s="343"/>
      <c r="C297" s="343"/>
      <c r="D297" s="343"/>
      <c r="E297" s="343"/>
      <c r="F297" s="495"/>
      <c r="G297" s="495"/>
      <c r="H297" s="343"/>
      <c r="I297" s="343"/>
      <c r="J297" s="343"/>
      <c r="K297" s="343"/>
      <c r="L297" s="343"/>
      <c r="M297" s="343"/>
      <c r="N297" s="343"/>
      <c r="O297" s="343"/>
      <c r="P297" s="343"/>
      <c r="Q297" s="343"/>
      <c r="R297" s="343"/>
      <c r="S297" s="343"/>
      <c r="T297" s="343"/>
      <c r="U297" s="343"/>
      <c r="V297" s="343"/>
      <c r="W297" s="343"/>
      <c r="X297" s="343"/>
      <c r="Y297" s="343"/>
      <c r="Z297" s="343"/>
    </row>
    <row r="298" ht="12.75" customHeight="1">
      <c r="A298" s="343"/>
      <c r="B298" s="343"/>
      <c r="C298" s="343"/>
      <c r="D298" s="343"/>
      <c r="E298" s="343"/>
      <c r="F298" s="495"/>
      <c r="G298" s="495"/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343"/>
      <c r="X298" s="343"/>
      <c r="Y298" s="343"/>
      <c r="Z298" s="343"/>
    </row>
    <row r="299" ht="12.75" customHeight="1">
      <c r="A299" s="343"/>
      <c r="B299" s="343"/>
      <c r="C299" s="343"/>
      <c r="D299" s="343"/>
      <c r="E299" s="343"/>
      <c r="F299" s="495"/>
      <c r="G299" s="495"/>
      <c r="H299" s="343"/>
      <c r="I299" s="343"/>
      <c r="J299" s="343"/>
      <c r="K299" s="343"/>
      <c r="L299" s="343"/>
      <c r="M299" s="343"/>
      <c r="N299" s="343"/>
      <c r="O299" s="343"/>
      <c r="P299" s="343"/>
      <c r="Q299" s="343"/>
      <c r="R299" s="343"/>
      <c r="S299" s="343"/>
      <c r="T299" s="343"/>
      <c r="U299" s="343"/>
      <c r="V299" s="343"/>
      <c r="W299" s="343"/>
      <c r="X299" s="343"/>
      <c r="Y299" s="343"/>
      <c r="Z299" s="343"/>
    </row>
    <row r="300" ht="12.75" customHeight="1">
      <c r="A300" s="343"/>
      <c r="B300" s="343"/>
      <c r="C300" s="343"/>
      <c r="D300" s="343"/>
      <c r="E300" s="343"/>
      <c r="F300" s="495"/>
      <c r="G300" s="495"/>
      <c r="H300" s="343"/>
      <c r="I300" s="343"/>
      <c r="J300" s="343"/>
      <c r="K300" s="343"/>
      <c r="L300" s="343"/>
      <c r="M300" s="343"/>
      <c r="N300" s="343"/>
      <c r="O300" s="343"/>
      <c r="P300" s="343"/>
      <c r="Q300" s="343"/>
      <c r="R300" s="343"/>
      <c r="S300" s="343"/>
      <c r="T300" s="343"/>
      <c r="U300" s="343"/>
      <c r="V300" s="343"/>
      <c r="W300" s="343"/>
      <c r="X300" s="343"/>
      <c r="Y300" s="343"/>
      <c r="Z300" s="343"/>
    </row>
    <row r="301" ht="12.75" customHeight="1">
      <c r="A301" s="343"/>
      <c r="B301" s="343"/>
      <c r="C301" s="343"/>
      <c r="D301" s="343"/>
      <c r="E301" s="343"/>
      <c r="F301" s="495"/>
      <c r="G301" s="495"/>
      <c r="H301" s="343"/>
      <c r="I301" s="343"/>
      <c r="J301" s="343"/>
      <c r="K301" s="343"/>
      <c r="L301" s="343"/>
      <c r="M301" s="343"/>
      <c r="N301" s="343"/>
      <c r="O301" s="343"/>
      <c r="P301" s="343"/>
      <c r="Q301" s="343"/>
      <c r="R301" s="343"/>
      <c r="S301" s="343"/>
      <c r="T301" s="343"/>
      <c r="U301" s="343"/>
      <c r="V301" s="343"/>
      <c r="W301" s="343"/>
      <c r="X301" s="343"/>
      <c r="Y301" s="343"/>
      <c r="Z301" s="343"/>
    </row>
    <row r="302" ht="12.75" customHeight="1">
      <c r="A302" s="343"/>
      <c r="B302" s="343"/>
      <c r="C302" s="343"/>
      <c r="D302" s="343"/>
      <c r="E302" s="343"/>
      <c r="F302" s="495"/>
      <c r="G302" s="495"/>
      <c r="H302" s="343"/>
      <c r="I302" s="343"/>
      <c r="J302" s="343"/>
      <c r="K302" s="343"/>
      <c r="L302" s="343"/>
      <c r="M302" s="343"/>
      <c r="N302" s="343"/>
      <c r="O302" s="343"/>
      <c r="P302" s="343"/>
      <c r="Q302" s="343"/>
      <c r="R302" s="343"/>
      <c r="S302" s="343"/>
      <c r="T302" s="343"/>
      <c r="U302" s="343"/>
      <c r="V302" s="343"/>
      <c r="W302" s="343"/>
      <c r="X302" s="343"/>
      <c r="Y302" s="343"/>
      <c r="Z302" s="343"/>
    </row>
    <row r="303" ht="12.75" customHeight="1">
      <c r="A303" s="343"/>
      <c r="B303" s="343"/>
      <c r="C303" s="343"/>
      <c r="D303" s="343"/>
      <c r="E303" s="343"/>
      <c r="F303" s="495"/>
      <c r="G303" s="495"/>
      <c r="H303" s="343"/>
      <c r="I303" s="343"/>
      <c r="J303" s="343"/>
      <c r="K303" s="343"/>
      <c r="L303" s="343"/>
      <c r="M303" s="343"/>
      <c r="N303" s="343"/>
      <c r="O303" s="343"/>
      <c r="P303" s="343"/>
      <c r="Q303" s="343"/>
      <c r="R303" s="343"/>
      <c r="S303" s="343"/>
      <c r="T303" s="343"/>
      <c r="U303" s="343"/>
      <c r="V303" s="343"/>
      <c r="W303" s="343"/>
      <c r="X303" s="343"/>
      <c r="Y303" s="343"/>
      <c r="Z303" s="343"/>
    </row>
    <row r="304" ht="12.75" customHeight="1">
      <c r="A304" s="343"/>
      <c r="B304" s="343"/>
      <c r="C304" s="343"/>
      <c r="D304" s="343"/>
      <c r="E304" s="343"/>
      <c r="F304" s="495"/>
      <c r="G304" s="495"/>
      <c r="H304" s="343"/>
      <c r="I304" s="343"/>
      <c r="J304" s="343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</row>
    <row r="305" ht="12.75" customHeight="1">
      <c r="A305" s="343"/>
      <c r="B305" s="343"/>
      <c r="C305" s="343"/>
      <c r="D305" s="343"/>
      <c r="E305" s="343"/>
      <c r="F305" s="495"/>
      <c r="G305" s="495"/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</row>
    <row r="306" ht="12.75" customHeight="1">
      <c r="A306" s="343"/>
      <c r="B306" s="343"/>
      <c r="C306" s="343"/>
      <c r="D306" s="343"/>
      <c r="E306" s="343"/>
      <c r="F306" s="495"/>
      <c r="G306" s="495"/>
      <c r="H306" s="343"/>
      <c r="I306" s="343"/>
      <c r="J306" s="343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</row>
    <row r="307" ht="12.75" customHeight="1">
      <c r="A307" s="343"/>
      <c r="B307" s="343"/>
      <c r="C307" s="343"/>
      <c r="D307" s="343"/>
      <c r="E307" s="343"/>
      <c r="F307" s="495"/>
      <c r="G307" s="495"/>
      <c r="H307" s="343"/>
      <c r="I307" s="343"/>
      <c r="J307" s="343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</row>
    <row r="308" ht="12.75" customHeight="1">
      <c r="A308" s="343"/>
      <c r="B308" s="343"/>
      <c r="C308" s="343"/>
      <c r="D308" s="343"/>
      <c r="E308" s="343"/>
      <c r="F308" s="495"/>
      <c r="G308" s="495"/>
      <c r="H308" s="343"/>
      <c r="I308" s="343"/>
      <c r="J308" s="343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</row>
    <row r="309" ht="12.75" customHeight="1">
      <c r="A309" s="343"/>
      <c r="B309" s="343"/>
      <c r="C309" s="343"/>
      <c r="D309" s="343"/>
      <c r="E309" s="343"/>
      <c r="F309" s="495"/>
      <c r="G309" s="495"/>
      <c r="H309" s="343"/>
      <c r="I309" s="343"/>
      <c r="J309" s="343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</row>
    <row r="310" ht="12.75" customHeight="1">
      <c r="A310" s="343"/>
      <c r="B310" s="343"/>
      <c r="C310" s="343"/>
      <c r="D310" s="343"/>
      <c r="E310" s="343"/>
      <c r="F310" s="495"/>
      <c r="G310" s="495"/>
      <c r="H310" s="343"/>
      <c r="I310" s="343"/>
      <c r="J310" s="343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</row>
    <row r="311" ht="12.75" customHeight="1">
      <c r="A311" s="343"/>
      <c r="B311" s="343"/>
      <c r="C311" s="343"/>
      <c r="D311" s="343"/>
      <c r="E311" s="343"/>
      <c r="F311" s="495"/>
      <c r="G311" s="495"/>
      <c r="H311" s="343"/>
      <c r="I311" s="343"/>
      <c r="J311" s="343"/>
      <c r="K311" s="343"/>
      <c r="L311" s="343"/>
      <c r="M311" s="343"/>
      <c r="N311" s="343"/>
      <c r="O311" s="343"/>
      <c r="P311" s="343"/>
      <c r="Q311" s="343"/>
      <c r="R311" s="343"/>
      <c r="S311" s="343"/>
      <c r="T311" s="343"/>
      <c r="U311" s="343"/>
      <c r="V311" s="343"/>
      <c r="W311" s="343"/>
      <c r="X311" s="343"/>
      <c r="Y311" s="343"/>
      <c r="Z311" s="343"/>
    </row>
    <row r="312" ht="12.75" customHeight="1">
      <c r="A312" s="343"/>
      <c r="B312" s="343"/>
      <c r="C312" s="343"/>
      <c r="D312" s="343"/>
      <c r="E312" s="343"/>
      <c r="F312" s="495"/>
      <c r="G312" s="495"/>
      <c r="H312" s="343"/>
      <c r="I312" s="343"/>
      <c r="J312" s="343"/>
      <c r="K312" s="343"/>
      <c r="L312" s="343"/>
      <c r="M312" s="343"/>
      <c r="N312" s="343"/>
      <c r="O312" s="343"/>
      <c r="P312" s="343"/>
      <c r="Q312" s="343"/>
      <c r="R312" s="343"/>
      <c r="S312" s="343"/>
      <c r="T312" s="343"/>
      <c r="U312" s="343"/>
      <c r="V312" s="343"/>
      <c r="W312" s="343"/>
      <c r="X312" s="343"/>
      <c r="Y312" s="343"/>
      <c r="Z312" s="343"/>
    </row>
    <row r="313" ht="12.75" customHeight="1">
      <c r="A313" s="343"/>
      <c r="B313" s="343"/>
      <c r="C313" s="343"/>
      <c r="D313" s="343"/>
      <c r="E313" s="343"/>
      <c r="F313" s="495"/>
      <c r="G313" s="495"/>
      <c r="H313" s="343"/>
      <c r="I313" s="343"/>
      <c r="J313" s="343"/>
      <c r="K313" s="343"/>
      <c r="L313" s="343"/>
      <c r="M313" s="343"/>
      <c r="N313" s="343"/>
      <c r="O313" s="343"/>
      <c r="P313" s="343"/>
      <c r="Q313" s="343"/>
      <c r="R313" s="343"/>
      <c r="S313" s="343"/>
      <c r="T313" s="343"/>
      <c r="U313" s="343"/>
      <c r="V313" s="343"/>
      <c r="W313" s="343"/>
      <c r="X313" s="343"/>
      <c r="Y313" s="343"/>
      <c r="Z313" s="343"/>
    </row>
    <row r="314" ht="12.75" customHeight="1">
      <c r="A314" s="343"/>
      <c r="B314" s="343"/>
      <c r="C314" s="343"/>
      <c r="D314" s="343"/>
      <c r="E314" s="343"/>
      <c r="F314" s="495"/>
      <c r="G314" s="495"/>
      <c r="H314" s="343"/>
      <c r="I314" s="343"/>
      <c r="J314" s="343"/>
      <c r="K314" s="343"/>
      <c r="L314" s="343"/>
      <c r="M314" s="343"/>
      <c r="N314" s="343"/>
      <c r="O314" s="343"/>
      <c r="P314" s="343"/>
      <c r="Q314" s="343"/>
      <c r="R314" s="343"/>
      <c r="S314" s="343"/>
      <c r="T314" s="343"/>
      <c r="U314" s="343"/>
      <c r="V314" s="343"/>
      <c r="W314" s="343"/>
      <c r="X314" s="343"/>
      <c r="Y314" s="343"/>
      <c r="Z314" s="343"/>
    </row>
    <row r="315" ht="12.75" customHeight="1">
      <c r="A315" s="343"/>
      <c r="B315" s="343"/>
      <c r="C315" s="343"/>
      <c r="D315" s="343"/>
      <c r="E315" s="343"/>
      <c r="F315" s="495"/>
      <c r="G315" s="495"/>
      <c r="H315" s="343"/>
      <c r="I315" s="343"/>
      <c r="J315" s="343"/>
      <c r="K315" s="343"/>
      <c r="L315" s="343"/>
      <c r="M315" s="343"/>
      <c r="N315" s="343"/>
      <c r="O315" s="343"/>
      <c r="P315" s="343"/>
      <c r="Q315" s="343"/>
      <c r="R315" s="343"/>
      <c r="S315" s="343"/>
      <c r="T315" s="343"/>
      <c r="U315" s="343"/>
      <c r="V315" s="343"/>
      <c r="W315" s="343"/>
      <c r="X315" s="343"/>
      <c r="Y315" s="343"/>
      <c r="Z315" s="343"/>
    </row>
    <row r="316" ht="12.75" customHeight="1">
      <c r="A316" s="343"/>
      <c r="B316" s="343"/>
      <c r="C316" s="343"/>
      <c r="D316" s="343"/>
      <c r="E316" s="343"/>
      <c r="F316" s="495"/>
      <c r="G316" s="495"/>
      <c r="H316" s="343"/>
      <c r="I316" s="343"/>
      <c r="J316" s="343"/>
      <c r="K316" s="343"/>
      <c r="L316" s="343"/>
      <c r="M316" s="343"/>
      <c r="N316" s="343"/>
      <c r="O316" s="343"/>
      <c r="P316" s="343"/>
      <c r="Q316" s="343"/>
      <c r="R316" s="343"/>
      <c r="S316" s="343"/>
      <c r="T316" s="343"/>
      <c r="U316" s="343"/>
      <c r="V316" s="343"/>
      <c r="W316" s="343"/>
      <c r="X316" s="343"/>
      <c r="Y316" s="343"/>
      <c r="Z316" s="343"/>
    </row>
    <row r="317" ht="12.75" customHeight="1">
      <c r="A317" s="343"/>
      <c r="B317" s="343"/>
      <c r="C317" s="343"/>
      <c r="D317" s="343"/>
      <c r="E317" s="343"/>
      <c r="F317" s="495"/>
      <c r="G317" s="495"/>
      <c r="H317" s="34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3"/>
      <c r="T317" s="343"/>
      <c r="U317" s="343"/>
      <c r="V317" s="343"/>
      <c r="W317" s="343"/>
      <c r="X317" s="343"/>
      <c r="Y317" s="343"/>
      <c r="Z317" s="343"/>
    </row>
    <row r="318" ht="12.75" customHeight="1">
      <c r="A318" s="343"/>
      <c r="B318" s="343"/>
      <c r="C318" s="343"/>
      <c r="D318" s="343"/>
      <c r="E318" s="343"/>
      <c r="F318" s="495"/>
      <c r="G318" s="495"/>
      <c r="H318" s="343"/>
      <c r="I318" s="343"/>
      <c r="J318" s="343"/>
      <c r="K318" s="343"/>
      <c r="L318" s="343"/>
      <c r="M318" s="343"/>
      <c r="N318" s="343"/>
      <c r="O318" s="343"/>
      <c r="P318" s="343"/>
      <c r="Q318" s="343"/>
      <c r="R318" s="343"/>
      <c r="S318" s="343"/>
      <c r="T318" s="343"/>
      <c r="U318" s="343"/>
      <c r="V318" s="343"/>
      <c r="W318" s="343"/>
      <c r="X318" s="343"/>
      <c r="Y318" s="343"/>
      <c r="Z318" s="343"/>
    </row>
    <row r="319" ht="12.75" customHeight="1">
      <c r="A319" s="343"/>
      <c r="B319" s="343"/>
      <c r="C319" s="343"/>
      <c r="D319" s="343"/>
      <c r="E319" s="343"/>
      <c r="F319" s="495"/>
      <c r="G319" s="495"/>
      <c r="H319" s="343"/>
      <c r="I319" s="343"/>
      <c r="J319" s="343"/>
      <c r="K319" s="343"/>
      <c r="L319" s="343"/>
      <c r="M319" s="343"/>
      <c r="N319" s="343"/>
      <c r="O319" s="343"/>
      <c r="P319" s="343"/>
      <c r="Q319" s="343"/>
      <c r="R319" s="343"/>
      <c r="S319" s="343"/>
      <c r="T319" s="343"/>
      <c r="U319" s="343"/>
      <c r="V319" s="343"/>
      <c r="W319" s="343"/>
      <c r="X319" s="343"/>
      <c r="Y319" s="343"/>
      <c r="Z319" s="343"/>
    </row>
    <row r="320" ht="12.75" customHeight="1">
      <c r="A320" s="343"/>
      <c r="B320" s="343"/>
      <c r="C320" s="343"/>
      <c r="D320" s="343"/>
      <c r="E320" s="343"/>
      <c r="F320" s="495"/>
      <c r="G320" s="495"/>
      <c r="H320" s="343"/>
      <c r="I320" s="343"/>
      <c r="J320" s="343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343"/>
      <c r="X320" s="343"/>
      <c r="Y320" s="343"/>
      <c r="Z320" s="343"/>
    </row>
    <row r="321" ht="12.75" customHeight="1">
      <c r="A321" s="343"/>
      <c r="B321" s="343"/>
      <c r="C321" s="343"/>
      <c r="D321" s="343"/>
      <c r="E321" s="343"/>
      <c r="F321" s="495"/>
      <c r="G321" s="495"/>
      <c r="H321" s="343"/>
      <c r="I321" s="343"/>
      <c r="J321" s="343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343"/>
      <c r="X321" s="343"/>
      <c r="Y321" s="343"/>
      <c r="Z321" s="343"/>
    </row>
    <row r="322" ht="12.75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343"/>
      <c r="X322" s="343"/>
      <c r="Y322" s="343"/>
      <c r="Z322" s="343"/>
    </row>
    <row r="323" ht="12.75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343"/>
      <c r="X323" s="343"/>
      <c r="Y323" s="343"/>
      <c r="Z323" s="343"/>
    </row>
    <row r="324" ht="12.75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</row>
    <row r="325" ht="12.75" customHeight="1">
      <c r="A325" s="343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343"/>
      <c r="X325" s="343"/>
      <c r="Y325" s="343"/>
      <c r="Z325" s="343"/>
    </row>
    <row r="326" ht="12.75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343"/>
      <c r="X326" s="343"/>
      <c r="Y326" s="343"/>
      <c r="Z326" s="343"/>
    </row>
    <row r="327" ht="12.75" customHeight="1">
      <c r="A327" s="343"/>
      <c r="B327" s="343"/>
      <c r="C327" s="343"/>
      <c r="D327" s="343"/>
      <c r="E327" s="343"/>
      <c r="F327" s="495"/>
      <c r="G327" s="495"/>
      <c r="H327" s="343"/>
      <c r="I327" s="343"/>
      <c r="J327" s="343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343"/>
      <c r="X327" s="343"/>
      <c r="Y327" s="343"/>
      <c r="Z327" s="343"/>
    </row>
    <row r="328" ht="12.75" customHeight="1">
      <c r="A328" s="343"/>
      <c r="B328" s="343"/>
      <c r="C328" s="343"/>
      <c r="D328" s="343"/>
      <c r="E328" s="343"/>
      <c r="F328" s="495"/>
      <c r="G328" s="495"/>
      <c r="H328" s="343"/>
      <c r="I328" s="343"/>
      <c r="J328" s="343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343"/>
      <c r="X328" s="343"/>
      <c r="Y328" s="343"/>
      <c r="Z328" s="343"/>
    </row>
    <row r="329" ht="12.75" customHeight="1">
      <c r="A329" s="343"/>
      <c r="B329" s="343"/>
      <c r="C329" s="343"/>
      <c r="D329" s="343"/>
      <c r="E329" s="343"/>
      <c r="F329" s="495"/>
      <c r="G329" s="495"/>
      <c r="H329" s="343"/>
      <c r="I329" s="343"/>
      <c r="J329" s="343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343"/>
      <c r="X329" s="343"/>
      <c r="Y329" s="343"/>
      <c r="Z329" s="343"/>
    </row>
    <row r="330" ht="12.75" customHeight="1">
      <c r="A330" s="343"/>
      <c r="B330" s="343"/>
      <c r="C330" s="343"/>
      <c r="D330" s="343"/>
      <c r="E330" s="343"/>
      <c r="F330" s="495"/>
      <c r="G330" s="495"/>
      <c r="H330" s="343"/>
      <c r="I330" s="343"/>
      <c r="J330" s="343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343"/>
      <c r="X330" s="343"/>
      <c r="Y330" s="343"/>
      <c r="Z330" s="343"/>
    </row>
    <row r="331" ht="12.75" customHeight="1">
      <c r="A331" s="343"/>
      <c r="B331" s="343"/>
      <c r="C331" s="343"/>
      <c r="D331" s="343"/>
      <c r="E331" s="343"/>
      <c r="F331" s="495"/>
      <c r="G331" s="495"/>
      <c r="H331" s="343"/>
      <c r="I331" s="343"/>
      <c r="J331" s="343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343"/>
      <c r="X331" s="343"/>
      <c r="Y331" s="343"/>
      <c r="Z331" s="343"/>
    </row>
    <row r="332" ht="12.75" customHeight="1">
      <c r="A332" s="343"/>
      <c r="B332" s="343"/>
      <c r="C332" s="343"/>
      <c r="D332" s="343"/>
      <c r="E332" s="343"/>
      <c r="F332" s="495"/>
      <c r="G332" s="495"/>
      <c r="H332" s="343"/>
      <c r="I332" s="343"/>
      <c r="J332" s="343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343"/>
      <c r="X332" s="343"/>
      <c r="Y332" s="343"/>
      <c r="Z332" s="343"/>
    </row>
    <row r="333" ht="12.75" customHeight="1">
      <c r="A333" s="343"/>
      <c r="B333" s="343"/>
      <c r="C333" s="343"/>
      <c r="D333" s="343"/>
      <c r="E333" s="343"/>
      <c r="F333" s="495"/>
      <c r="G333" s="495"/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343"/>
      <c r="X333" s="343"/>
      <c r="Y333" s="343"/>
      <c r="Z333" s="343"/>
    </row>
    <row r="334" ht="12.75" customHeight="1">
      <c r="A334" s="343"/>
      <c r="B334" s="343"/>
      <c r="C334" s="343"/>
      <c r="D334" s="343"/>
      <c r="E334" s="343"/>
      <c r="F334" s="495"/>
      <c r="G334" s="495"/>
      <c r="H334" s="343"/>
      <c r="I334" s="343"/>
      <c r="J334" s="343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343"/>
      <c r="X334" s="343"/>
      <c r="Y334" s="343"/>
      <c r="Z334" s="343"/>
    </row>
    <row r="335" ht="12.75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343"/>
      <c r="X335" s="343"/>
      <c r="Y335" s="343"/>
      <c r="Z335" s="343"/>
    </row>
    <row r="336" ht="12.75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343"/>
      <c r="X336" s="343"/>
      <c r="Y336" s="343"/>
      <c r="Z336" s="343"/>
    </row>
    <row r="337" ht="12.75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343"/>
      <c r="X337" s="343"/>
      <c r="Y337" s="343"/>
      <c r="Z337" s="343"/>
    </row>
    <row r="338" ht="12.75" customHeight="1">
      <c r="A338" s="343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343"/>
      <c r="X338" s="343"/>
      <c r="Y338" s="343"/>
      <c r="Z338" s="343"/>
    </row>
    <row r="339" ht="12.75" customHeight="1">
      <c r="A339" s="343"/>
      <c r="B339" s="343"/>
      <c r="C339" s="343"/>
      <c r="D339" s="343"/>
      <c r="E339" s="343"/>
      <c r="F339" s="495"/>
      <c r="G339" s="495"/>
      <c r="H339" s="343"/>
      <c r="I339" s="343"/>
      <c r="J339" s="343"/>
      <c r="K339" s="343"/>
      <c r="L339" s="343"/>
      <c r="M339" s="343"/>
      <c r="N339" s="343"/>
      <c r="O339" s="343"/>
      <c r="P339" s="343"/>
      <c r="Q339" s="343"/>
      <c r="R339" s="343"/>
      <c r="S339" s="343"/>
      <c r="T339" s="343"/>
      <c r="U339" s="343"/>
      <c r="V339" s="343"/>
      <c r="W339" s="343"/>
      <c r="X339" s="343"/>
      <c r="Y339" s="343"/>
      <c r="Z339" s="343"/>
    </row>
    <row r="340" ht="12.75" customHeight="1">
      <c r="A340" s="343"/>
      <c r="B340" s="343"/>
      <c r="C340" s="343"/>
      <c r="D340" s="343"/>
      <c r="E340" s="343"/>
      <c r="F340" s="495"/>
      <c r="G340" s="495"/>
      <c r="H340" s="343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343"/>
      <c r="X340" s="343"/>
      <c r="Y340" s="343"/>
      <c r="Z340" s="343"/>
    </row>
    <row r="341" ht="12.75" customHeight="1">
      <c r="A341" s="343"/>
      <c r="B341" s="343"/>
      <c r="C341" s="343"/>
      <c r="D341" s="343"/>
      <c r="E341" s="343"/>
      <c r="F341" s="495"/>
      <c r="G341" s="495"/>
      <c r="H341" s="343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343"/>
      <c r="X341" s="343"/>
      <c r="Y341" s="343"/>
      <c r="Z341" s="343"/>
    </row>
    <row r="342" ht="12.75" customHeight="1">
      <c r="A342" s="343"/>
      <c r="B342" s="343"/>
      <c r="C342" s="343"/>
      <c r="D342" s="343"/>
      <c r="E342" s="343"/>
      <c r="F342" s="495"/>
      <c r="G342" s="495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343"/>
      <c r="X342" s="343"/>
      <c r="Y342" s="343"/>
      <c r="Z342" s="343"/>
    </row>
    <row r="343" ht="12.75" customHeight="1">
      <c r="A343" s="343"/>
      <c r="B343" s="343"/>
      <c r="C343" s="343"/>
      <c r="D343" s="343"/>
      <c r="E343" s="343"/>
      <c r="F343" s="495"/>
      <c r="G343" s="495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343"/>
      <c r="X343" s="343"/>
      <c r="Y343" s="343"/>
      <c r="Z343" s="343"/>
    </row>
    <row r="344" ht="12.75" customHeight="1">
      <c r="A344" s="343"/>
      <c r="B344" s="343"/>
      <c r="C344" s="343"/>
      <c r="D344" s="343"/>
      <c r="E344" s="343"/>
      <c r="F344" s="495"/>
      <c r="G344" s="495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343"/>
      <c r="X344" s="343"/>
      <c r="Y344" s="343"/>
      <c r="Z344" s="343"/>
    </row>
    <row r="345" ht="12.75" customHeight="1">
      <c r="A345" s="343"/>
      <c r="B345" s="343"/>
      <c r="C345" s="343"/>
      <c r="D345" s="343"/>
      <c r="E345" s="343"/>
      <c r="F345" s="495"/>
      <c r="G345" s="495"/>
      <c r="H345" s="343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343"/>
      <c r="X345" s="343"/>
      <c r="Y345" s="343"/>
      <c r="Z345" s="343"/>
    </row>
    <row r="346" ht="12.75" customHeight="1">
      <c r="A346" s="343"/>
      <c r="B346" s="343"/>
      <c r="C346" s="343"/>
      <c r="D346" s="343"/>
      <c r="E346" s="343"/>
      <c r="F346" s="495"/>
      <c r="G346" s="495"/>
      <c r="H346" s="343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</row>
    <row r="347" ht="12.75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</row>
    <row r="348" ht="12.75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</row>
    <row r="349" ht="12.75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</row>
    <row r="350" ht="12.75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</row>
    <row r="351" ht="12.75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</row>
    <row r="352" ht="12.75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</row>
    <row r="353" ht="12.75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</row>
    <row r="354" ht="12.75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</row>
    <row r="355" ht="12.75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</row>
    <row r="356" ht="12.75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</row>
    <row r="357" ht="12.75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</row>
    <row r="358" ht="12.75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</row>
    <row r="359" ht="12.75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</row>
    <row r="360" ht="12.75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</row>
    <row r="361" ht="12.75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</row>
    <row r="362" ht="12.75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</row>
    <row r="363" ht="12.75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</row>
    <row r="364" ht="12.75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</row>
    <row r="365" ht="12.75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</row>
    <row r="366" ht="12.75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</row>
    <row r="367" ht="12.75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</row>
    <row r="368" ht="12.75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</row>
    <row r="369" ht="12.75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</row>
    <row r="370" ht="12.75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</row>
    <row r="371" ht="12.75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</row>
    <row r="372" ht="12.75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</row>
    <row r="373" ht="12.75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</row>
    <row r="374" ht="12.75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</row>
    <row r="375" ht="12.75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</row>
    <row r="376" ht="12.75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</row>
    <row r="377" ht="12.75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</row>
    <row r="378" ht="12.75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</row>
    <row r="379" ht="12.75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</row>
    <row r="380" ht="12.75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</row>
    <row r="381" ht="12.75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</row>
    <row r="382" ht="12.75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</row>
    <row r="383" ht="12.75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</row>
    <row r="384" ht="12.75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</row>
    <row r="385" ht="12.75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</row>
    <row r="386" ht="12.75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</row>
    <row r="387" ht="12.75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</row>
    <row r="388" ht="12.75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</row>
    <row r="389" ht="12.75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</row>
    <row r="390" ht="12.75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</row>
    <row r="391" ht="12.75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</row>
    <row r="392" ht="12.75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</row>
    <row r="393" ht="12.75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</row>
    <row r="394" ht="12.75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</row>
    <row r="395" ht="12.75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</row>
    <row r="396" ht="12.75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</row>
    <row r="397" ht="12.75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</row>
    <row r="398" ht="12.75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</row>
    <row r="399" ht="12.75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</row>
    <row r="400" ht="12.75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</row>
    <row r="401" ht="12.75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</row>
    <row r="402" ht="12.75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</row>
    <row r="403" ht="12.75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</row>
    <row r="404" ht="12.75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</row>
    <row r="405" ht="12.75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</row>
    <row r="406" ht="12.75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</row>
    <row r="407" ht="12.75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</row>
    <row r="408" ht="12.75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</row>
    <row r="409" ht="12.75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</row>
    <row r="410" ht="12.75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</row>
    <row r="411" ht="12.75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</row>
    <row r="412" ht="12.75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</row>
    <row r="413" ht="12.75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</row>
    <row r="414" ht="12.75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</row>
    <row r="415" ht="12.75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</row>
    <row r="416" ht="12.75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</row>
    <row r="417" ht="12.75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</row>
    <row r="418" ht="12.75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</row>
    <row r="419" ht="12.75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</row>
    <row r="420" ht="12.75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</row>
    <row r="421" ht="12.75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</row>
    <row r="422" ht="12.75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</row>
    <row r="423" ht="12.75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</row>
    <row r="424" ht="12.75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</row>
    <row r="425" ht="12.75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</row>
    <row r="426" ht="12.75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</row>
    <row r="427" ht="12.75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</row>
    <row r="428" ht="12.75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</row>
    <row r="429" ht="12.75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</row>
    <row r="430" ht="12.75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</row>
    <row r="431" ht="12.75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</row>
    <row r="432" ht="12.75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</row>
    <row r="433" ht="12.75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</row>
    <row r="434" ht="12.75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</row>
    <row r="435" ht="12.75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</row>
    <row r="436" ht="12.75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</row>
    <row r="437" ht="12.75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</row>
    <row r="438" ht="12.75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</row>
    <row r="439" ht="12.75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</row>
    <row r="440" ht="12.75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</row>
    <row r="441" ht="12.75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</row>
    <row r="442" ht="12.75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</row>
    <row r="443" ht="12.75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</row>
    <row r="444" ht="12.75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</row>
    <row r="445" ht="12.75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</row>
    <row r="446" ht="12.75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</row>
    <row r="447" ht="12.75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</row>
    <row r="448" ht="12.75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</row>
    <row r="449" ht="12.75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</row>
    <row r="450" ht="12.75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</row>
    <row r="451" ht="12.75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</row>
    <row r="452" ht="12.75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</row>
    <row r="453" ht="12.75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</row>
    <row r="454" ht="12.75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</row>
    <row r="455" ht="12.75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</row>
    <row r="456" ht="12.75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</row>
    <row r="457" ht="12.75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</row>
    <row r="458" ht="12.75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</row>
    <row r="459" ht="12.75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</row>
    <row r="460" ht="12.75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</row>
    <row r="461" ht="12.75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</row>
    <row r="462" ht="12.75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</row>
    <row r="463" ht="12.75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</row>
    <row r="464" ht="12.75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</row>
    <row r="465" ht="12.75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</row>
    <row r="466" ht="12.75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</row>
    <row r="467" ht="12.75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</row>
    <row r="468" ht="12.75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</row>
    <row r="469" ht="12.75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7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2"/>
      <c r="Z1" s="452"/>
      <c r="AA1" s="452"/>
      <c r="AB1" s="455"/>
    </row>
    <row r="2" ht="18.0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7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2"/>
      <c r="Z2" s="452"/>
      <c r="AA2" s="452"/>
      <c r="AB2" s="455"/>
    </row>
    <row r="3" ht="18.0" customHeight="1">
      <c r="A3" s="452"/>
      <c r="B3" s="459"/>
      <c r="C3" s="455"/>
      <c r="D3" s="455"/>
      <c r="E3" s="455"/>
      <c r="F3" s="455"/>
      <c r="G3" s="455"/>
      <c r="H3" s="455"/>
      <c r="I3" s="461"/>
      <c r="J3" s="461"/>
      <c r="K3" s="464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2"/>
      <c r="Z3" s="452"/>
      <c r="AA3" s="452"/>
      <c r="AB3" s="455"/>
    </row>
    <row r="4" ht="18.0" customHeight="1">
      <c r="A4" s="452"/>
      <c r="B4" s="459"/>
      <c r="C4" s="455"/>
      <c r="D4" s="455"/>
      <c r="E4" s="455"/>
      <c r="F4" s="455"/>
      <c r="G4" s="455"/>
      <c r="H4" s="453"/>
      <c r="I4" s="454"/>
      <c r="J4" s="454"/>
      <c r="K4" s="456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2"/>
      <c r="AA4" s="452"/>
      <c r="AB4" s="455"/>
    </row>
    <row r="5" ht="18.0" customHeight="1">
      <c r="A5" s="452"/>
      <c r="B5" s="459"/>
      <c r="C5" s="462"/>
      <c r="D5" s="455"/>
      <c r="E5" s="463"/>
      <c r="F5" s="455"/>
      <c r="G5" s="455"/>
      <c r="H5" s="453"/>
      <c r="I5" s="454"/>
      <c r="J5" s="454"/>
      <c r="K5" s="464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2"/>
      <c r="AA5" s="452"/>
      <c r="AB5" s="455"/>
    </row>
    <row r="6" ht="18.0" customHeight="1">
      <c r="A6" s="452"/>
      <c r="B6" s="459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2"/>
      <c r="AA6" s="452"/>
      <c r="AB6" s="455"/>
    </row>
    <row r="7" ht="18.0" customHeight="1">
      <c r="A7" s="452"/>
      <c r="B7" s="459"/>
      <c r="C7" s="455"/>
      <c r="D7" s="455"/>
      <c r="E7" s="455"/>
      <c r="F7" s="455"/>
      <c r="G7" s="455"/>
      <c r="H7" s="467"/>
      <c r="I7" s="484"/>
      <c r="J7" s="484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2"/>
      <c r="AA7" s="452"/>
      <c r="AB7" s="455"/>
    </row>
    <row r="8" ht="18.0" customHeight="1">
      <c r="A8" s="452"/>
      <c r="B8" s="453"/>
      <c r="C8" s="455"/>
      <c r="D8" s="455"/>
      <c r="E8" s="455"/>
      <c r="F8" s="455"/>
      <c r="G8" s="455"/>
      <c r="H8" s="467"/>
      <c r="I8" s="484"/>
      <c r="J8" s="484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  <c r="AA8" s="452"/>
      <c r="AB8" s="455"/>
    </row>
    <row r="9" ht="18.0" customHeight="1">
      <c r="A9" s="452"/>
      <c r="B9" s="453" t="s">
        <v>149</v>
      </c>
      <c r="C9" s="455" t="s">
        <v>150</v>
      </c>
      <c r="D9" s="455" t="s">
        <v>151</v>
      </c>
      <c r="E9" s="452"/>
      <c r="F9" s="452" t="s">
        <v>12</v>
      </c>
      <c r="G9" s="452" t="s">
        <v>48</v>
      </c>
      <c r="H9" s="467" t="s">
        <v>49</v>
      </c>
      <c r="I9" s="466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  <c r="AA9" s="452"/>
      <c r="AB9" s="455"/>
    </row>
    <row r="10" ht="18.0" customHeight="1">
      <c r="A10" s="452"/>
      <c r="B10" s="453">
        <v>1.0</v>
      </c>
      <c r="C10" s="453"/>
      <c r="D10" s="516"/>
      <c r="E10" s="452"/>
      <c r="F10" s="452"/>
      <c r="G10" s="452"/>
      <c r="H10" s="467"/>
      <c r="I10" s="466"/>
      <c r="J10" s="466"/>
      <c r="K10" s="467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5"/>
      <c r="X10" s="455"/>
      <c r="Y10" s="455"/>
      <c r="Z10" s="452"/>
      <c r="AA10" s="452"/>
      <c r="AB10" s="455"/>
    </row>
    <row r="11" ht="18.0" customHeight="1">
      <c r="A11" s="452"/>
      <c r="B11" s="453">
        <v>2.0</v>
      </c>
      <c r="C11" s="453"/>
      <c r="D11" s="517"/>
      <c r="E11" s="498"/>
      <c r="F11" s="518" t="s">
        <v>153</v>
      </c>
      <c r="G11" s="478">
        <f>+D10+D12+D14+D15+D16+D17+D18+D19+D20+D21+D22+D23+D24+D25+D26+D27+D28+D29+D30+D31+D32</f>
        <v>0</v>
      </c>
      <c r="H11" s="519" t="str">
        <f>+G11/G16*100</f>
        <v>#DIV/0!</v>
      </c>
      <c r="I11" s="470"/>
      <c r="J11" s="470"/>
      <c r="K11" s="46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80"/>
      <c r="X11" s="460"/>
      <c r="Y11" s="460"/>
      <c r="Z11" s="452"/>
      <c r="AA11" s="452"/>
      <c r="AB11" s="455"/>
    </row>
    <row r="12" ht="18.0" customHeight="1">
      <c r="A12" s="452"/>
      <c r="B12" s="453">
        <v>3.0</v>
      </c>
      <c r="C12" s="453"/>
      <c r="D12" s="516"/>
      <c r="E12" s="453"/>
      <c r="F12" s="460" t="s">
        <v>154</v>
      </c>
      <c r="G12" s="469">
        <f>+D11+D33</f>
        <v>0</v>
      </c>
      <c r="H12" s="519" t="str">
        <f>+G12/G16*100</f>
        <v>#DIV/0!</v>
      </c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  <c r="AA12" s="452"/>
      <c r="AB12" s="455"/>
    </row>
    <row r="13" ht="18.0" customHeight="1">
      <c r="A13" s="452"/>
      <c r="B13" s="453"/>
      <c r="C13" s="453"/>
      <c r="D13" s="516"/>
      <c r="E13" s="453"/>
      <c r="F13" s="460" t="s">
        <v>155</v>
      </c>
      <c r="G13" s="469"/>
      <c r="H13" s="519" t="str">
        <f>+G13/G16*100</f>
        <v>#DIV/0!</v>
      </c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73"/>
      <c r="Y13" s="473"/>
      <c r="Z13" s="452"/>
      <c r="AA13" s="452"/>
      <c r="AB13" s="455"/>
    </row>
    <row r="14" ht="18.0" customHeight="1">
      <c r="A14" s="452"/>
      <c r="B14" s="453">
        <v>4.0</v>
      </c>
      <c r="C14" s="453"/>
      <c r="D14" s="516"/>
      <c r="E14" s="453"/>
      <c r="F14" s="460" t="s">
        <v>156</v>
      </c>
      <c r="G14" s="469">
        <v>0.0</v>
      </c>
      <c r="H14" s="519" t="str">
        <f>+G14/G16*100</f>
        <v>#DIV/0!</v>
      </c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  <c r="AA14" s="452"/>
      <c r="AB14" s="455"/>
    </row>
    <row r="15" ht="18.0" customHeight="1">
      <c r="A15" s="452"/>
      <c r="B15" s="453">
        <v>5.0</v>
      </c>
      <c r="C15" s="453"/>
      <c r="D15" s="516"/>
      <c r="E15" s="453"/>
      <c r="F15" s="460" t="s">
        <v>157</v>
      </c>
      <c r="G15" s="469">
        <f>+D39+D42</f>
        <v>0</v>
      </c>
      <c r="H15" s="519" t="str">
        <f>+G15/G16*100</f>
        <v>#DIV/0!</v>
      </c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53"/>
      <c r="X15" s="473"/>
      <c r="Y15" s="473"/>
      <c r="Z15" s="452"/>
      <c r="AA15" s="452"/>
      <c r="AB15" s="455"/>
    </row>
    <row r="16" ht="18.0" customHeight="1">
      <c r="A16" s="452"/>
      <c r="B16" s="453">
        <v>6.0</v>
      </c>
      <c r="C16" s="453"/>
      <c r="D16" s="516"/>
      <c r="E16" s="498"/>
      <c r="F16" s="460"/>
      <c r="G16" s="482">
        <f t="shared" ref="G16:H16" si="1">SUM(G11:G15)</f>
        <v>0</v>
      </c>
      <c r="H16" s="520" t="str">
        <f t="shared" si="1"/>
        <v>#DIV/0!</v>
      </c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54"/>
      <c r="Y16" s="454"/>
      <c r="Z16" s="452"/>
      <c r="AA16" s="452"/>
      <c r="AB16" s="455"/>
    </row>
    <row r="17" ht="18.0" customHeight="1">
      <c r="A17" s="452"/>
      <c r="B17" s="453">
        <v>7.0</v>
      </c>
      <c r="C17" s="453"/>
      <c r="D17" s="521"/>
      <c r="E17" s="453"/>
      <c r="F17" s="460"/>
      <c r="G17" s="522"/>
      <c r="H17" s="469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73"/>
      <c r="Y17" s="473"/>
      <c r="Z17" s="452"/>
      <c r="AA17" s="452"/>
      <c r="AB17" s="455"/>
    </row>
    <row r="18" ht="18.0" customHeight="1">
      <c r="A18" s="452"/>
      <c r="B18" s="453">
        <v>8.0</v>
      </c>
      <c r="C18" s="453"/>
      <c r="D18" s="516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73"/>
      <c r="Y18" s="473"/>
      <c r="Z18" s="452"/>
      <c r="AA18" s="452"/>
      <c r="AB18" s="455"/>
    </row>
    <row r="19" ht="18.0" customHeight="1">
      <c r="A19" s="452"/>
      <c r="B19" s="453">
        <v>9.0</v>
      </c>
      <c r="C19" s="453"/>
      <c r="D19" s="516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  <c r="AA19" s="452"/>
      <c r="AB19" s="455"/>
    </row>
    <row r="20" ht="18.0" customHeight="1">
      <c r="A20" s="452"/>
      <c r="B20" s="453">
        <v>10.0</v>
      </c>
      <c r="C20" s="453"/>
      <c r="D20" s="516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  <c r="AA20" s="452"/>
      <c r="AB20" s="455"/>
    </row>
    <row r="21" ht="18.0" customHeight="1">
      <c r="A21" s="452"/>
      <c r="B21" s="453">
        <v>11.0</v>
      </c>
      <c r="C21" s="453"/>
      <c r="D21" s="516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  <c r="AA21" s="452"/>
      <c r="AB21" s="455"/>
    </row>
    <row r="22" ht="18.0" customHeight="1">
      <c r="A22" s="452"/>
      <c r="B22" s="453">
        <v>12.0</v>
      </c>
      <c r="C22" s="453"/>
      <c r="D22" s="516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53"/>
      <c r="X22" s="460"/>
      <c r="Y22" s="460"/>
      <c r="Z22" s="452"/>
      <c r="AA22" s="452"/>
      <c r="AB22" s="455"/>
    </row>
    <row r="23" ht="18.0" customHeight="1">
      <c r="A23" s="452"/>
      <c r="B23" s="453">
        <v>13.0</v>
      </c>
      <c r="C23" s="453"/>
      <c r="D23" s="516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72"/>
      <c r="X23" s="460"/>
      <c r="Y23" s="460"/>
      <c r="Z23" s="452"/>
      <c r="AA23" s="452"/>
      <c r="AB23" s="455"/>
    </row>
    <row r="24" ht="18.0" customHeight="1">
      <c r="A24" s="452"/>
      <c r="B24" s="453">
        <v>14.0</v>
      </c>
      <c r="C24" s="453"/>
      <c r="D24" s="516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60"/>
      <c r="X24" s="460"/>
      <c r="Y24" s="460"/>
      <c r="Z24" s="452"/>
      <c r="AA24" s="452"/>
      <c r="AB24" s="455"/>
    </row>
    <row r="25" ht="18.0" customHeight="1">
      <c r="A25" s="452"/>
      <c r="B25" s="453">
        <v>15.0</v>
      </c>
      <c r="C25" s="453"/>
      <c r="D25" s="516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  <c r="AA25" s="452"/>
      <c r="AB25" s="455"/>
    </row>
    <row r="26" ht="18.0" customHeight="1">
      <c r="A26" s="452"/>
      <c r="B26" s="453">
        <v>16.0</v>
      </c>
      <c r="C26" s="453"/>
      <c r="D26" s="521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  <c r="AA26" s="452"/>
      <c r="AB26" s="455"/>
    </row>
    <row r="27" ht="18.0" customHeight="1">
      <c r="A27" s="452"/>
      <c r="B27" s="453">
        <v>17.0</v>
      </c>
      <c r="C27" s="453"/>
      <c r="D27" s="516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  <c r="AA27" s="452"/>
      <c r="AB27" s="455"/>
    </row>
    <row r="28" ht="18.0" customHeight="1">
      <c r="A28" s="452"/>
      <c r="B28" s="453">
        <v>18.0</v>
      </c>
      <c r="C28" s="453"/>
      <c r="D28" s="516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72"/>
      <c r="X28" s="460"/>
      <c r="Y28" s="460"/>
      <c r="Z28" s="452"/>
      <c r="AA28" s="452"/>
      <c r="AB28" s="455"/>
    </row>
    <row r="29" ht="18.0" customHeight="1">
      <c r="A29" s="452"/>
      <c r="B29" s="453">
        <v>19.0</v>
      </c>
      <c r="C29" s="453"/>
      <c r="D29" s="51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60"/>
      <c r="X29" s="460"/>
      <c r="Y29" s="460"/>
      <c r="Z29" s="452"/>
      <c r="AA29" s="452"/>
      <c r="AB29" s="455"/>
    </row>
    <row r="30" ht="18.0" customHeight="1">
      <c r="A30" s="452"/>
      <c r="B30" s="453">
        <v>20.0</v>
      </c>
      <c r="C30" s="453"/>
      <c r="D30" s="516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72"/>
      <c r="X30" s="460"/>
      <c r="Y30" s="460"/>
      <c r="Z30" s="452"/>
      <c r="AA30" s="452"/>
      <c r="AB30" s="455"/>
    </row>
    <row r="31" ht="18.0" customHeight="1">
      <c r="A31" s="452"/>
      <c r="B31" s="453">
        <v>21.0</v>
      </c>
      <c r="C31" s="453"/>
      <c r="D31" s="521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60"/>
      <c r="X31" s="460"/>
      <c r="Y31" s="460"/>
      <c r="Z31" s="452"/>
      <c r="AA31" s="452"/>
      <c r="AB31" s="455"/>
    </row>
    <row r="32" ht="18.0" customHeight="1">
      <c r="A32" s="452"/>
      <c r="B32" s="453">
        <v>22.0</v>
      </c>
      <c r="C32" s="453"/>
      <c r="D32" s="52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80"/>
      <c r="X32" s="460"/>
      <c r="Y32" s="460"/>
      <c r="Z32" s="452"/>
      <c r="AA32" s="452"/>
      <c r="AB32" s="455"/>
    </row>
    <row r="33" ht="18.0" customHeight="1">
      <c r="A33" s="452"/>
      <c r="B33" s="453">
        <v>23.0</v>
      </c>
      <c r="C33" s="453"/>
      <c r="D33" s="516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3"/>
      <c r="W33" s="480"/>
      <c r="X33" s="460"/>
      <c r="Y33" s="460"/>
      <c r="Z33" s="452"/>
      <c r="AA33" s="452"/>
      <c r="AB33" s="455"/>
    </row>
    <row r="34" ht="18.0" customHeight="1">
      <c r="A34" s="452"/>
      <c r="B34" s="453" t="s">
        <v>133</v>
      </c>
      <c r="C34" s="453"/>
      <c r="D34" s="524">
        <f>SUM(D10:D33)</f>
        <v>0</v>
      </c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3"/>
      <c r="W34" s="453"/>
      <c r="X34" s="460"/>
      <c r="Y34" s="460"/>
      <c r="Z34" s="452"/>
      <c r="AA34" s="452"/>
      <c r="AB34" s="455"/>
    </row>
    <row r="35" ht="18.0" customHeight="1">
      <c r="A35" s="452"/>
      <c r="B35" s="453"/>
      <c r="C35" s="453"/>
      <c r="D35" s="521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3"/>
      <c r="W35" s="453"/>
      <c r="X35" s="460"/>
      <c r="Y35" s="460"/>
      <c r="Z35" s="452"/>
      <c r="AA35" s="452"/>
      <c r="AB35" s="455"/>
    </row>
    <row r="36" ht="18.0" customHeight="1">
      <c r="A36" s="452"/>
      <c r="B36" s="453"/>
      <c r="C36" s="453"/>
      <c r="D36" s="521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3"/>
      <c r="W36" s="460"/>
      <c r="X36" s="460"/>
      <c r="Y36" s="460"/>
      <c r="Z36" s="452"/>
      <c r="AA36" s="452"/>
      <c r="AB36" s="455"/>
    </row>
    <row r="37" ht="18.0" customHeight="1">
      <c r="A37" s="452"/>
      <c r="B37" s="453"/>
      <c r="C37" s="453"/>
      <c r="D37" s="516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3"/>
      <c r="W37" s="480"/>
      <c r="X37" s="460"/>
      <c r="Y37" s="460"/>
      <c r="Z37" s="452"/>
      <c r="AA37" s="452"/>
      <c r="AB37" s="455"/>
    </row>
    <row r="38" ht="18.0" customHeight="1">
      <c r="A38" s="452"/>
      <c r="B38" s="453"/>
      <c r="C38" s="453"/>
      <c r="D38" s="516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3"/>
      <c r="W38" s="453"/>
      <c r="X38" s="460"/>
      <c r="Y38" s="460"/>
      <c r="Z38" s="452"/>
      <c r="AA38" s="452"/>
      <c r="AB38" s="455"/>
    </row>
    <row r="39" ht="18.0" customHeight="1">
      <c r="A39" s="452"/>
      <c r="B39" s="453"/>
      <c r="C39" s="453"/>
      <c r="D39" s="516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3"/>
      <c r="W39" s="453"/>
      <c r="X39" s="460"/>
      <c r="Y39" s="460"/>
      <c r="Z39" s="452"/>
      <c r="AA39" s="452"/>
      <c r="AB39" s="455"/>
    </row>
    <row r="40" ht="18.0" customHeight="1">
      <c r="A40" s="452"/>
      <c r="B40" s="453"/>
      <c r="C40" s="453"/>
      <c r="D40" s="516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  <c r="AA40" s="452"/>
      <c r="AB40" s="455"/>
    </row>
    <row r="41" ht="18.0" customHeight="1">
      <c r="A41" s="452"/>
      <c r="B41" s="453"/>
      <c r="C41" s="453"/>
      <c r="D41" s="516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  <c r="AA41" s="452"/>
      <c r="AB41" s="455"/>
    </row>
    <row r="42" ht="18.0" customHeight="1">
      <c r="A42" s="452"/>
      <c r="B42" s="453"/>
      <c r="C42" s="453"/>
      <c r="D42" s="516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  <c r="AA42" s="452"/>
      <c r="AB42" s="455"/>
    </row>
    <row r="43" ht="18.0" customHeight="1">
      <c r="A43" s="452"/>
      <c r="B43" s="453"/>
      <c r="C43" s="453"/>
      <c r="D43" s="516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  <c r="AA43" s="452"/>
      <c r="AB43" s="455"/>
    </row>
    <row r="44" ht="18.0" customHeight="1">
      <c r="A44" s="452"/>
      <c r="B44" s="453"/>
      <c r="C44" s="453"/>
      <c r="D44" s="521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  <c r="AA44" s="452"/>
      <c r="AB44" s="455"/>
    </row>
    <row r="45" ht="18.0" customHeight="1">
      <c r="A45" s="452"/>
      <c r="B45" s="453"/>
      <c r="C45" s="453"/>
      <c r="D45" s="517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  <c r="AA45" s="452"/>
      <c r="AB45" s="455"/>
    </row>
    <row r="46" ht="18.0" customHeight="1">
      <c r="A46" s="452"/>
      <c r="B46" s="453"/>
      <c r="C46" s="453"/>
      <c r="D46" s="525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  <c r="AA46" s="452"/>
      <c r="AB46" s="455"/>
    </row>
    <row r="47" ht="18.0" customHeight="1">
      <c r="A47" s="452"/>
      <c r="B47" s="453"/>
      <c r="C47" s="453"/>
      <c r="D47" s="517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  <c r="AA47" s="452"/>
      <c r="AB47" s="455"/>
    </row>
    <row r="48" ht="18.0" customHeight="1">
      <c r="A48" s="452"/>
      <c r="B48" s="453"/>
      <c r="C48" s="472"/>
      <c r="D48" s="516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  <c r="AA48" s="452"/>
      <c r="AB48" s="455"/>
    </row>
    <row r="49" ht="18.0" customHeight="1">
      <c r="A49" s="452"/>
      <c r="B49" s="453"/>
      <c r="C49" s="453"/>
      <c r="D49" s="516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  <c r="AA49" s="452"/>
      <c r="AB49" s="455"/>
    </row>
    <row r="50" ht="18.0" customHeight="1">
      <c r="A50" s="452"/>
      <c r="B50" s="453"/>
      <c r="C50" s="453"/>
      <c r="D50" s="526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  <c r="AA50" s="452"/>
      <c r="AB50" s="455"/>
    </row>
    <row r="51" ht="18.0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  <c r="AA51" s="452"/>
      <c r="AB51" s="455"/>
    </row>
    <row r="52" ht="18.0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  <c r="AA52" s="452"/>
      <c r="AB52" s="455"/>
    </row>
    <row r="53" ht="18.0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  <c r="AA53" s="452"/>
      <c r="AB53" s="455"/>
    </row>
    <row r="54" ht="18.0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  <c r="AA54" s="452"/>
      <c r="AB54" s="455"/>
    </row>
    <row r="55" ht="18.0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  <c r="AA55" s="452"/>
      <c r="AB55" s="455"/>
    </row>
    <row r="56" ht="18.0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  <c r="AA56" s="452"/>
      <c r="AB56" s="455"/>
    </row>
    <row r="57" ht="18.0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  <c r="AA57" s="452"/>
      <c r="AB57" s="455"/>
    </row>
    <row r="58" ht="18.0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  <c r="AA58" s="452"/>
      <c r="AB58" s="455"/>
    </row>
    <row r="59" ht="18.0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  <c r="AA59" s="452"/>
      <c r="AB59" s="455"/>
    </row>
    <row r="60" ht="18.0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  <c r="AA60" s="452"/>
      <c r="AB60" s="455"/>
    </row>
    <row r="61" ht="18.0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  <c r="AA61" s="452"/>
      <c r="AB61" s="455"/>
    </row>
    <row r="62" ht="18.0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  <c r="AA62" s="452"/>
      <c r="AB62" s="455"/>
    </row>
    <row r="63" ht="18.0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  <c r="AA63" s="452"/>
      <c r="AB63" s="455"/>
    </row>
    <row r="64" ht="18.0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  <c r="AA64" s="452"/>
      <c r="AB64" s="455"/>
    </row>
    <row r="65" ht="18.0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  <c r="AA65" s="452"/>
      <c r="AB65" s="455"/>
    </row>
    <row r="66" ht="18.0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  <c r="AA66" s="452"/>
      <c r="AB66" s="455"/>
    </row>
    <row r="67" ht="18.0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  <c r="AA67" s="452"/>
      <c r="AB67" s="455"/>
    </row>
    <row r="68" ht="18.0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  <c r="AA68" s="452"/>
      <c r="AB68" s="455"/>
    </row>
    <row r="69" ht="18.0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  <c r="AA69" s="452"/>
      <c r="AB69" s="455"/>
    </row>
    <row r="70" ht="18.0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  <c r="AA70" s="452"/>
      <c r="AB70" s="455"/>
    </row>
    <row r="71" ht="18.0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  <c r="AA71" s="452"/>
      <c r="AB71" s="455"/>
    </row>
    <row r="72" ht="18.0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  <c r="AA72" s="452"/>
      <c r="AB72" s="455"/>
    </row>
    <row r="73" ht="18.0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  <c r="AA73" s="452"/>
      <c r="AB73" s="455"/>
    </row>
    <row r="74" ht="18.0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  <c r="AA74" s="452"/>
      <c r="AB74" s="455"/>
    </row>
    <row r="75" ht="18.0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  <c r="AA75" s="452"/>
      <c r="AB75" s="455"/>
    </row>
    <row r="76" ht="18.0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  <c r="AA76" s="452"/>
      <c r="AB76" s="455"/>
    </row>
    <row r="77" ht="18.0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  <c r="AA77" s="452"/>
      <c r="AB77" s="455"/>
    </row>
    <row r="78" ht="18.0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  <c r="AA78" s="452"/>
      <c r="AB78" s="455"/>
    </row>
    <row r="79" ht="18.0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  <c r="AA79" s="452"/>
      <c r="AB79" s="455"/>
    </row>
    <row r="80" ht="18.0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  <c r="AA80" s="452"/>
      <c r="AB80" s="455"/>
    </row>
    <row r="81" ht="18.0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  <c r="AA81" s="452"/>
      <c r="AB81" s="455"/>
    </row>
    <row r="82" ht="18.0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  <c r="AA82" s="452"/>
      <c r="AB82" s="455"/>
    </row>
    <row r="83" ht="18.0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  <c r="AA83" s="452"/>
      <c r="AB83" s="455"/>
    </row>
    <row r="84" ht="18.0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  <c r="AA84" s="452"/>
      <c r="AB84" s="455"/>
    </row>
    <row r="85" ht="18.0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  <c r="AA85" s="452"/>
      <c r="AB85" s="455"/>
    </row>
    <row r="86" ht="18.0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  <c r="AA86" s="452"/>
      <c r="AB86" s="455"/>
    </row>
    <row r="87" ht="18.0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  <c r="AA87" s="452"/>
      <c r="AB87" s="455"/>
    </row>
    <row r="88" ht="18.0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  <c r="AA88" s="452"/>
      <c r="AB88" s="455"/>
    </row>
    <row r="89" ht="18.0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  <c r="AA89" s="452"/>
      <c r="AB89" s="455"/>
    </row>
    <row r="90" ht="18.0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  <c r="AA90" s="452"/>
      <c r="AB90" s="455"/>
    </row>
    <row r="91" ht="18.0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  <c r="AA91" s="452"/>
      <c r="AB91" s="455"/>
    </row>
    <row r="92" ht="18.0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  <c r="AA92" s="452"/>
      <c r="AB92" s="455"/>
    </row>
    <row r="93" ht="18.0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  <c r="AA93" s="452"/>
      <c r="AB93" s="455"/>
    </row>
    <row r="94" ht="18.0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  <c r="AA94" s="452"/>
      <c r="AB94" s="455"/>
    </row>
    <row r="95" ht="18.0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  <c r="AA95" s="452"/>
      <c r="AB95" s="455"/>
    </row>
    <row r="96" ht="18.0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  <c r="AA96" s="452"/>
      <c r="AB96" s="455"/>
    </row>
    <row r="97" ht="18.0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  <c r="AA97" s="452"/>
      <c r="AB97" s="455"/>
    </row>
    <row r="98" ht="18.0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  <c r="AA98" s="452"/>
      <c r="AB98" s="455"/>
    </row>
    <row r="99" ht="18.0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  <c r="AA99" s="452"/>
      <c r="AB99" s="455"/>
    </row>
    <row r="100" ht="18.0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  <c r="AA100" s="452"/>
      <c r="AB100" s="455"/>
    </row>
    <row r="101" ht="18.0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  <c r="AA101" s="452"/>
      <c r="AB101" s="455"/>
    </row>
    <row r="102" ht="18.0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  <c r="AA102" s="452"/>
      <c r="AB102" s="455"/>
    </row>
    <row r="103" ht="18.0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  <c r="AA103" s="452"/>
      <c r="AB103" s="455"/>
    </row>
    <row r="104" ht="18.0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  <c r="AA104" s="452"/>
      <c r="AB104" s="455"/>
    </row>
    <row r="105" ht="18.0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  <c r="AA105" s="452"/>
      <c r="AB105" s="455"/>
    </row>
    <row r="106" ht="18.0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  <c r="AA106" s="452"/>
      <c r="AB106" s="455"/>
    </row>
    <row r="107" ht="18.0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  <c r="AA107" s="452"/>
      <c r="AB107" s="455"/>
    </row>
    <row r="108" ht="18.0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  <c r="AA108" s="452"/>
      <c r="AB108" s="455"/>
    </row>
    <row r="109" ht="18.0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  <c r="AA109" s="452"/>
      <c r="AB109" s="455"/>
    </row>
    <row r="110" ht="18.0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  <c r="AA110" s="452"/>
      <c r="AB110" s="455"/>
    </row>
    <row r="111" ht="18.0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  <c r="AA111" s="452"/>
      <c r="AB111" s="455"/>
    </row>
    <row r="112" ht="18.0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  <c r="AA112" s="452"/>
      <c r="AB112" s="455"/>
    </row>
    <row r="113" ht="18.0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  <c r="AA113" s="452"/>
      <c r="AB113" s="455"/>
    </row>
    <row r="114" ht="18.0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  <c r="AA114" s="452"/>
      <c r="AB114" s="455"/>
    </row>
    <row r="115" ht="18.0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  <c r="AA115" s="452"/>
      <c r="AB115" s="455"/>
    </row>
    <row r="116" ht="18.0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  <c r="AA116" s="452"/>
      <c r="AB116" s="455"/>
    </row>
    <row r="117" ht="18.0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  <c r="AA117" s="452"/>
      <c r="AB117" s="455"/>
    </row>
    <row r="118" ht="18.0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  <c r="AA118" s="452"/>
      <c r="AB118" s="455"/>
    </row>
    <row r="119" ht="18.0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  <c r="AA119" s="452"/>
      <c r="AB119" s="455"/>
    </row>
    <row r="120" ht="18.0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  <c r="AA120" s="452"/>
      <c r="AB120" s="455"/>
    </row>
    <row r="121" ht="18.0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  <c r="AA121" s="452"/>
      <c r="AB121" s="455"/>
    </row>
    <row r="122" ht="18.0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  <c r="AA122" s="452"/>
      <c r="AB122" s="455"/>
    </row>
    <row r="123" ht="18.0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  <c r="AA123" s="452"/>
      <c r="AB123" s="455"/>
    </row>
    <row r="124" ht="18.0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  <c r="AA124" s="452"/>
      <c r="AB124" s="455"/>
    </row>
    <row r="125" ht="18.0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  <c r="AA125" s="452"/>
      <c r="AB125" s="455"/>
    </row>
    <row r="126" ht="18.0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  <c r="AA126" s="452"/>
      <c r="AB126" s="455"/>
    </row>
    <row r="127" ht="18.0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  <c r="AA127" s="452"/>
      <c r="AB127" s="455"/>
    </row>
    <row r="128" ht="18.0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  <c r="AA128" s="452"/>
      <c r="AB128" s="455"/>
    </row>
    <row r="129" ht="18.0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  <c r="AA129" s="452"/>
      <c r="AB129" s="455"/>
    </row>
    <row r="130" ht="18.0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  <c r="AA130" s="452"/>
      <c r="AB130" s="455"/>
    </row>
    <row r="131" ht="18.0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  <c r="AA131" s="452"/>
      <c r="AB131" s="455"/>
    </row>
    <row r="132" ht="18.0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  <c r="AA132" s="452"/>
      <c r="AB132" s="455"/>
    </row>
    <row r="133" ht="18.0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  <c r="AA133" s="452"/>
      <c r="AB133" s="455"/>
    </row>
    <row r="134" ht="18.0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  <c r="AA134" s="452"/>
      <c r="AB134" s="455"/>
    </row>
    <row r="135" ht="18.0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  <c r="AA135" s="452"/>
      <c r="AB135" s="455"/>
    </row>
    <row r="136" ht="18.0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  <c r="AA136" s="452"/>
      <c r="AB136" s="455"/>
    </row>
    <row r="137" ht="18.0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  <c r="AA137" s="452"/>
      <c r="AB137" s="455"/>
    </row>
    <row r="138" ht="18.0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  <c r="AA138" s="452"/>
      <c r="AB138" s="455"/>
    </row>
    <row r="139" ht="18.0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  <c r="AA139" s="452"/>
      <c r="AB139" s="455"/>
    </row>
    <row r="140" ht="18.0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  <c r="AA140" s="452"/>
      <c r="AB140" s="455"/>
    </row>
    <row r="141" ht="18.0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  <c r="AA141" s="452"/>
      <c r="AB141" s="455"/>
    </row>
    <row r="142" ht="18.0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  <c r="AA142" s="452"/>
      <c r="AB142" s="455"/>
    </row>
    <row r="143" ht="18.0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  <c r="AA143" s="452"/>
      <c r="AB143" s="455"/>
    </row>
    <row r="144" ht="18.0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  <c r="AA144" s="452"/>
      <c r="AB144" s="455"/>
    </row>
    <row r="145" ht="18.0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  <c r="AA145" s="452"/>
      <c r="AB145" s="455"/>
    </row>
    <row r="146" ht="18.0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  <c r="AA146" s="452"/>
      <c r="AB146" s="455"/>
    </row>
    <row r="147" ht="18.0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  <c r="AA147" s="452"/>
      <c r="AB147" s="455"/>
    </row>
    <row r="148" ht="18.0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  <c r="AA148" s="452"/>
      <c r="AB148" s="455"/>
    </row>
    <row r="149" ht="18.0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  <c r="AA149" s="452"/>
      <c r="AB149" s="455"/>
    </row>
    <row r="150" ht="18.0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  <c r="AA150" s="452"/>
      <c r="AB150" s="455"/>
    </row>
    <row r="151" ht="18.0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  <c r="AA151" s="452"/>
      <c r="AB151" s="455"/>
    </row>
    <row r="152" ht="18.0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  <c r="AA152" s="452"/>
      <c r="AB152" s="455"/>
    </row>
    <row r="153" ht="18.0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  <c r="AA153" s="452"/>
      <c r="AB153" s="455"/>
    </row>
    <row r="154" ht="18.0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  <c r="AA154" s="452"/>
      <c r="AB154" s="455"/>
    </row>
    <row r="155" ht="18.0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  <c r="AA155" s="452"/>
      <c r="AB155" s="455"/>
    </row>
    <row r="156" ht="18.0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  <c r="AA156" s="452"/>
      <c r="AB156" s="455"/>
    </row>
    <row r="157" ht="18.0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  <c r="AA157" s="452"/>
      <c r="AB157" s="455"/>
    </row>
    <row r="158" ht="18.0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  <c r="AA158" s="452"/>
      <c r="AB158" s="455"/>
    </row>
    <row r="159" ht="18.0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  <c r="AA159" s="452"/>
      <c r="AB159" s="455"/>
    </row>
    <row r="160" ht="18.0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  <c r="AA160" s="452"/>
      <c r="AB160" s="455"/>
    </row>
    <row r="161" ht="18.0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  <c r="AA161" s="452"/>
      <c r="AB161" s="455"/>
    </row>
    <row r="162" ht="18.0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  <c r="AA162" s="452"/>
      <c r="AB162" s="455"/>
    </row>
    <row r="163" ht="18.0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  <c r="AA163" s="452"/>
      <c r="AB163" s="455"/>
    </row>
    <row r="164" ht="18.0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  <c r="AA164" s="452"/>
      <c r="AB164" s="455"/>
    </row>
    <row r="165" ht="18.0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  <c r="AA165" s="452"/>
      <c r="AB165" s="455"/>
    </row>
    <row r="166" ht="18.0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  <c r="AA166" s="452"/>
      <c r="AB166" s="455"/>
    </row>
    <row r="167" ht="18.0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  <c r="AA167" s="452"/>
      <c r="AB167" s="455"/>
    </row>
    <row r="168" ht="18.0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  <c r="AA168" s="452"/>
      <c r="AB168" s="455"/>
    </row>
    <row r="169" ht="18.0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  <c r="AA169" s="452"/>
      <c r="AB169" s="455"/>
    </row>
    <row r="170" ht="18.0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  <c r="AA170" s="452"/>
      <c r="AB170" s="455"/>
    </row>
    <row r="171" ht="18.0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  <c r="AA171" s="452"/>
      <c r="AB171" s="455"/>
    </row>
    <row r="172" ht="18.0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  <c r="AA172" s="452"/>
      <c r="AB172" s="455"/>
    </row>
    <row r="173" ht="18.0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  <c r="AA173" s="452"/>
      <c r="AB173" s="455"/>
    </row>
    <row r="174" ht="18.0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  <c r="AA174" s="452"/>
      <c r="AB174" s="455"/>
    </row>
    <row r="175" ht="18.0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  <c r="AA175" s="452"/>
      <c r="AB175" s="455"/>
    </row>
    <row r="176" ht="18.0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  <c r="AA176" s="452"/>
      <c r="AB176" s="455"/>
    </row>
    <row r="177" ht="18.0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  <c r="AA177" s="452"/>
      <c r="AB177" s="455"/>
    </row>
    <row r="178" ht="18.0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  <c r="AA178" s="452"/>
      <c r="AB178" s="455"/>
    </row>
    <row r="179" ht="18.0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  <c r="AA179" s="452"/>
      <c r="AB179" s="455"/>
    </row>
    <row r="180" ht="18.0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  <c r="AA180" s="452"/>
      <c r="AB180" s="455"/>
    </row>
    <row r="181" ht="18.0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  <c r="AA181" s="452"/>
      <c r="AB181" s="455"/>
    </row>
    <row r="182" ht="18.0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  <c r="AA182" s="452"/>
      <c r="AB182" s="455"/>
    </row>
    <row r="183" ht="18.0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  <c r="AA183" s="452"/>
      <c r="AB183" s="455"/>
    </row>
    <row r="184" ht="18.0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  <c r="AA184" s="452"/>
      <c r="AB184" s="455"/>
    </row>
    <row r="185" ht="18.0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  <c r="AA185" s="452"/>
      <c r="AB185" s="455"/>
    </row>
    <row r="186" ht="18.0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  <c r="AA186" s="452"/>
      <c r="AB186" s="455"/>
    </row>
    <row r="187" ht="18.0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  <c r="AA187" s="452"/>
      <c r="AB187" s="455"/>
    </row>
    <row r="188" ht="18.0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  <c r="AA188" s="452"/>
      <c r="AB188" s="455"/>
    </row>
    <row r="189" ht="18.0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  <c r="AA189" s="452"/>
      <c r="AB189" s="455"/>
    </row>
    <row r="190" ht="18.0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  <c r="AA190" s="452"/>
      <c r="AB190" s="455"/>
    </row>
    <row r="191" ht="18.0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455"/>
      <c r="X191" s="452"/>
      <c r="Y191" s="452"/>
      <c r="Z191" s="452"/>
      <c r="AA191" s="452"/>
      <c r="AB191" s="455"/>
    </row>
    <row r="192" ht="18.0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455"/>
      <c r="X192" s="452"/>
      <c r="Y192" s="452"/>
      <c r="Z192" s="452"/>
      <c r="AA192" s="452"/>
      <c r="AB192" s="455"/>
    </row>
    <row r="193" ht="18.0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455"/>
      <c r="X193" s="452"/>
      <c r="Y193" s="452"/>
      <c r="Z193" s="452"/>
      <c r="AA193" s="452"/>
      <c r="AB193" s="455"/>
    </row>
    <row r="194" ht="18.0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455"/>
      <c r="X194" s="452"/>
      <c r="Y194" s="452"/>
      <c r="Z194" s="452"/>
      <c r="AA194" s="452"/>
      <c r="AB194" s="455"/>
    </row>
    <row r="195" ht="18.0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455"/>
      <c r="X195" s="452"/>
      <c r="Y195" s="452"/>
      <c r="Z195" s="452"/>
      <c r="AA195" s="452"/>
      <c r="AB195" s="455"/>
    </row>
    <row r="196" ht="18.0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455"/>
      <c r="X196" s="452"/>
      <c r="Y196" s="452"/>
      <c r="Z196" s="452"/>
      <c r="AA196" s="452"/>
      <c r="AB196" s="455"/>
    </row>
    <row r="197" ht="18.0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455"/>
      <c r="X197" s="452"/>
      <c r="Y197" s="452"/>
      <c r="Z197" s="452"/>
      <c r="AA197" s="452"/>
      <c r="AB197" s="455"/>
    </row>
    <row r="198" ht="18.0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455"/>
      <c r="X198" s="452"/>
      <c r="Y198" s="452"/>
      <c r="Z198" s="452"/>
      <c r="AA198" s="452"/>
      <c r="AB198" s="455"/>
    </row>
    <row r="199" ht="18.0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455"/>
      <c r="X199" s="452"/>
      <c r="Y199" s="452"/>
      <c r="Z199" s="452"/>
      <c r="AA199" s="452"/>
      <c r="AB199" s="455"/>
    </row>
    <row r="200" ht="18.0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455"/>
      <c r="X200" s="452"/>
      <c r="Y200" s="452"/>
      <c r="Z200" s="452"/>
      <c r="AA200" s="452"/>
      <c r="AB200" s="455"/>
    </row>
    <row r="201" ht="18.0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455"/>
      <c r="X201" s="452"/>
      <c r="Y201" s="452"/>
      <c r="Z201" s="452"/>
      <c r="AA201" s="452"/>
      <c r="AB201" s="455"/>
    </row>
    <row r="202" ht="18.0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455"/>
      <c r="X202" s="452"/>
      <c r="Y202" s="452"/>
      <c r="Z202" s="452"/>
      <c r="AA202" s="452"/>
      <c r="AB202" s="455"/>
    </row>
    <row r="203" ht="18.0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455"/>
      <c r="X203" s="452"/>
      <c r="Y203" s="452"/>
      <c r="Z203" s="452"/>
      <c r="AA203" s="452"/>
      <c r="AB203" s="455"/>
    </row>
    <row r="204" ht="18.0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455"/>
      <c r="X204" s="452"/>
      <c r="Y204" s="452"/>
      <c r="Z204" s="452"/>
      <c r="AA204" s="452"/>
      <c r="AB204" s="455"/>
    </row>
    <row r="205" ht="18.0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455"/>
      <c r="X205" s="452"/>
      <c r="Y205" s="452"/>
      <c r="Z205" s="452"/>
      <c r="AA205" s="452"/>
      <c r="AB205" s="455"/>
    </row>
    <row r="206" ht="18.0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455"/>
      <c r="X206" s="452"/>
      <c r="Y206" s="452"/>
      <c r="Z206" s="452"/>
      <c r="AA206" s="452"/>
      <c r="AB206" s="455"/>
    </row>
    <row r="207" ht="18.0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455"/>
      <c r="X207" s="452"/>
      <c r="Y207" s="452"/>
      <c r="Z207" s="452"/>
      <c r="AA207" s="452"/>
      <c r="AB207" s="455"/>
    </row>
    <row r="208" ht="18.0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455"/>
      <c r="X208" s="452"/>
      <c r="Y208" s="452"/>
      <c r="Z208" s="452"/>
      <c r="AA208" s="452"/>
      <c r="AB208" s="455"/>
    </row>
    <row r="209" ht="18.0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455"/>
      <c r="X209" s="452"/>
      <c r="Y209" s="452"/>
      <c r="Z209" s="452"/>
      <c r="AA209" s="452"/>
      <c r="AB209" s="455"/>
    </row>
    <row r="210" ht="18.0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455"/>
      <c r="X210" s="452"/>
      <c r="Y210" s="452"/>
      <c r="Z210" s="452"/>
      <c r="AA210" s="452"/>
      <c r="AB210" s="455"/>
    </row>
    <row r="211" ht="18.0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455"/>
      <c r="X211" s="452"/>
      <c r="Y211" s="452"/>
      <c r="Z211" s="452"/>
      <c r="AA211" s="452"/>
      <c r="AB211" s="455"/>
    </row>
    <row r="212" ht="18.0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455"/>
      <c r="X212" s="452"/>
      <c r="Y212" s="452"/>
      <c r="Z212" s="452"/>
      <c r="AA212" s="452"/>
      <c r="AB212" s="455"/>
    </row>
    <row r="213" ht="18.0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455"/>
      <c r="X213" s="452"/>
      <c r="Y213" s="452"/>
      <c r="Z213" s="452"/>
      <c r="AA213" s="452"/>
      <c r="AB213" s="455"/>
    </row>
    <row r="214" ht="18.0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455"/>
      <c r="X214" s="452"/>
      <c r="Y214" s="452"/>
      <c r="Z214" s="452"/>
      <c r="AA214" s="452"/>
      <c r="AB214" s="455"/>
    </row>
    <row r="215" ht="18.0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455"/>
      <c r="X215" s="452"/>
      <c r="Y215" s="452"/>
      <c r="Z215" s="452"/>
      <c r="AA215" s="452"/>
      <c r="AB215" s="455"/>
    </row>
    <row r="216" ht="18.0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455"/>
      <c r="X216" s="452"/>
      <c r="Y216" s="452"/>
      <c r="Z216" s="452"/>
      <c r="AA216" s="452"/>
      <c r="AB216" s="455"/>
    </row>
    <row r="217" ht="18.0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455"/>
      <c r="X217" s="452"/>
      <c r="Y217" s="452"/>
      <c r="Z217" s="452"/>
      <c r="AA217" s="452"/>
      <c r="AB217" s="455"/>
    </row>
    <row r="218" ht="18.0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455"/>
      <c r="X218" s="452"/>
      <c r="Y218" s="452"/>
      <c r="Z218" s="452"/>
      <c r="AA218" s="452"/>
      <c r="AB218" s="455"/>
    </row>
    <row r="219" ht="18.0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455"/>
      <c r="X219" s="452"/>
      <c r="Y219" s="452"/>
      <c r="Z219" s="452"/>
      <c r="AA219" s="452"/>
      <c r="AB219" s="455"/>
    </row>
    <row r="220" ht="18.0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455"/>
      <c r="X220" s="452"/>
      <c r="Y220" s="452"/>
      <c r="Z220" s="452"/>
      <c r="AA220" s="452"/>
      <c r="AB220" s="455"/>
    </row>
    <row r="221" ht="18.0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455"/>
      <c r="X221" s="452"/>
      <c r="Y221" s="452"/>
      <c r="Z221" s="452"/>
      <c r="AA221" s="452"/>
      <c r="AB221" s="455"/>
    </row>
    <row r="222" ht="18.0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455"/>
      <c r="X222" s="452"/>
      <c r="Y222" s="452"/>
      <c r="Z222" s="452"/>
      <c r="AA222" s="452"/>
      <c r="AB222" s="455"/>
    </row>
    <row r="223" ht="18.0" customHeight="1">
      <c r="A223" s="452"/>
      <c r="B223" s="453"/>
      <c r="C223" s="453"/>
      <c r="D223" s="453"/>
      <c r="E223" s="453"/>
      <c r="F223" s="460"/>
      <c r="G223" s="460"/>
      <c r="H223" s="453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455"/>
      <c r="X223" s="452"/>
      <c r="Y223" s="452"/>
      <c r="Z223" s="452"/>
      <c r="AA223" s="452"/>
      <c r="AB223" s="455"/>
    </row>
    <row r="224" ht="18.0" customHeight="1">
      <c r="A224" s="452"/>
      <c r="B224" s="453"/>
      <c r="C224" s="453"/>
      <c r="D224" s="453"/>
      <c r="E224" s="453"/>
      <c r="F224" s="460"/>
      <c r="G224" s="460"/>
      <c r="H224" s="453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455"/>
      <c r="X224" s="452"/>
      <c r="Y224" s="452"/>
      <c r="Z224" s="452"/>
      <c r="AA224" s="452"/>
      <c r="AB224" s="455"/>
    </row>
    <row r="225" ht="18.0" customHeight="1">
      <c r="A225" s="452"/>
      <c r="B225" s="453"/>
      <c r="C225" s="453"/>
      <c r="D225" s="453"/>
      <c r="E225" s="453"/>
      <c r="F225" s="460"/>
      <c r="G225" s="460"/>
      <c r="H225" s="453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455"/>
      <c r="X225" s="452"/>
      <c r="Y225" s="452"/>
      <c r="Z225" s="452"/>
      <c r="AA225" s="452"/>
      <c r="AB225" s="455"/>
    </row>
    <row r="226" ht="18.0" customHeight="1">
      <c r="A226" s="452"/>
      <c r="B226" s="453"/>
      <c r="C226" s="453"/>
      <c r="D226" s="453"/>
      <c r="E226" s="453"/>
      <c r="F226" s="460"/>
      <c r="G226" s="460"/>
      <c r="H226" s="453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455"/>
      <c r="X226" s="452"/>
      <c r="Y226" s="452"/>
      <c r="Z226" s="452"/>
      <c r="AA226" s="452"/>
      <c r="AB226" s="455"/>
    </row>
    <row r="227" ht="18.0" customHeight="1">
      <c r="A227" s="452"/>
      <c r="B227" s="453"/>
      <c r="C227" s="453"/>
      <c r="D227" s="453"/>
      <c r="E227" s="453"/>
      <c r="F227" s="460"/>
      <c r="G227" s="460"/>
      <c r="H227" s="453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455"/>
      <c r="X227" s="452"/>
      <c r="Y227" s="452"/>
      <c r="Z227" s="452"/>
      <c r="AA227" s="452"/>
      <c r="AB227" s="455"/>
    </row>
    <row r="228" ht="18.0" customHeight="1">
      <c r="A228" s="452"/>
      <c r="B228" s="453"/>
      <c r="C228" s="453"/>
      <c r="D228" s="453"/>
      <c r="E228" s="453"/>
      <c r="F228" s="460"/>
      <c r="G228" s="460"/>
      <c r="H228" s="453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455"/>
      <c r="X228" s="452"/>
      <c r="Y228" s="452"/>
      <c r="Z228" s="452"/>
      <c r="AA228" s="452"/>
      <c r="AB228" s="455"/>
    </row>
    <row r="229" ht="18.0" customHeight="1">
      <c r="A229" s="452"/>
      <c r="B229" s="453"/>
      <c r="C229" s="453"/>
      <c r="D229" s="453"/>
      <c r="E229" s="453"/>
      <c r="F229" s="460"/>
      <c r="G229" s="460"/>
      <c r="H229" s="453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455"/>
      <c r="X229" s="452"/>
      <c r="Y229" s="452"/>
      <c r="Z229" s="452"/>
      <c r="AA229" s="452"/>
      <c r="AB229" s="455"/>
    </row>
    <row r="230" ht="18.0" customHeight="1">
      <c r="A230" s="452"/>
      <c r="B230" s="453"/>
      <c r="C230" s="453"/>
      <c r="D230" s="453"/>
      <c r="E230" s="453"/>
      <c r="F230" s="460"/>
      <c r="G230" s="460"/>
      <c r="H230" s="453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455"/>
      <c r="X230" s="452"/>
      <c r="Y230" s="452"/>
      <c r="Z230" s="452"/>
      <c r="AA230" s="452"/>
      <c r="AB230" s="455"/>
    </row>
    <row r="231" ht="18.0" customHeight="1">
      <c r="A231" s="452"/>
      <c r="B231" s="453"/>
      <c r="C231" s="453"/>
      <c r="D231" s="453"/>
      <c r="E231" s="453"/>
      <c r="F231" s="460"/>
      <c r="G231" s="460"/>
      <c r="H231" s="453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455"/>
      <c r="X231" s="452"/>
      <c r="Y231" s="452"/>
      <c r="Z231" s="452"/>
      <c r="AA231" s="452"/>
      <c r="AB231" s="455"/>
    </row>
    <row r="232" ht="18.0" customHeight="1">
      <c r="A232" s="452"/>
      <c r="B232" s="453"/>
      <c r="C232" s="453"/>
      <c r="D232" s="453"/>
      <c r="E232" s="453"/>
      <c r="F232" s="460"/>
      <c r="G232" s="460"/>
      <c r="H232" s="453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455"/>
      <c r="X232" s="452"/>
      <c r="Y232" s="452"/>
      <c r="Z232" s="452"/>
      <c r="AA232" s="452"/>
      <c r="AB232" s="455"/>
    </row>
    <row r="233" ht="18.0" customHeight="1">
      <c r="A233" s="452"/>
      <c r="B233" s="453"/>
      <c r="C233" s="453"/>
      <c r="D233" s="453"/>
      <c r="E233" s="453"/>
      <c r="F233" s="460"/>
      <c r="G233" s="460"/>
      <c r="H233" s="453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455"/>
      <c r="X233" s="452"/>
      <c r="Y233" s="452"/>
      <c r="Z233" s="452"/>
      <c r="AA233" s="452"/>
      <c r="AB233" s="455"/>
    </row>
    <row r="234" ht="18.0" customHeight="1">
      <c r="A234" s="452"/>
      <c r="B234" s="453"/>
      <c r="C234" s="453"/>
      <c r="D234" s="453"/>
      <c r="E234" s="453"/>
      <c r="F234" s="460"/>
      <c r="G234" s="460"/>
      <c r="H234" s="453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455"/>
      <c r="X234" s="452"/>
      <c r="Y234" s="452"/>
      <c r="Z234" s="452"/>
      <c r="AA234" s="452"/>
      <c r="AB234" s="455"/>
    </row>
    <row r="235" ht="18.0" customHeight="1">
      <c r="A235" s="452"/>
      <c r="B235" s="453"/>
      <c r="C235" s="453"/>
      <c r="D235" s="453"/>
      <c r="E235" s="453"/>
      <c r="F235" s="460"/>
      <c r="G235" s="460"/>
      <c r="H235" s="453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455"/>
      <c r="X235" s="452"/>
      <c r="Y235" s="452"/>
      <c r="Z235" s="452"/>
      <c r="AA235" s="452"/>
      <c r="AB235" s="455"/>
    </row>
    <row r="236" ht="18.0" customHeight="1">
      <c r="A236" s="452"/>
      <c r="B236" s="453"/>
      <c r="C236" s="453"/>
      <c r="D236" s="453"/>
      <c r="E236" s="453"/>
      <c r="F236" s="460"/>
      <c r="G236" s="460"/>
      <c r="H236" s="453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455"/>
      <c r="X236" s="452"/>
      <c r="Y236" s="452"/>
      <c r="Z236" s="452"/>
      <c r="AA236" s="452"/>
      <c r="AB236" s="455"/>
    </row>
    <row r="237" ht="18.0" customHeight="1">
      <c r="A237" s="452"/>
      <c r="B237" s="453"/>
      <c r="C237" s="453"/>
      <c r="D237" s="453"/>
      <c r="E237" s="453"/>
      <c r="F237" s="460"/>
      <c r="G237" s="460"/>
      <c r="H237" s="453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455"/>
      <c r="X237" s="452"/>
      <c r="Y237" s="452"/>
      <c r="Z237" s="452"/>
      <c r="AA237" s="452"/>
      <c r="AB237" s="455"/>
    </row>
    <row r="238" ht="18.0" customHeight="1">
      <c r="A238" s="452"/>
      <c r="B238" s="453"/>
      <c r="C238" s="453"/>
      <c r="D238" s="453"/>
      <c r="E238" s="453"/>
      <c r="F238" s="460"/>
      <c r="G238" s="460"/>
      <c r="H238" s="453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455"/>
      <c r="X238" s="452"/>
      <c r="Y238" s="452"/>
      <c r="Z238" s="452"/>
      <c r="AA238" s="452"/>
      <c r="AB238" s="455"/>
    </row>
    <row r="239" ht="18.0" customHeight="1">
      <c r="A239" s="452"/>
      <c r="B239" s="453"/>
      <c r="C239" s="453"/>
      <c r="D239" s="453"/>
      <c r="E239" s="453"/>
      <c r="F239" s="460"/>
      <c r="G239" s="460"/>
      <c r="H239" s="453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455"/>
      <c r="X239" s="452"/>
      <c r="Y239" s="452"/>
      <c r="Z239" s="452"/>
      <c r="AA239" s="452"/>
      <c r="AB239" s="455"/>
    </row>
    <row r="240" ht="18.0" customHeight="1">
      <c r="A240" s="452"/>
      <c r="B240" s="453"/>
      <c r="C240" s="453"/>
      <c r="D240" s="453"/>
      <c r="E240" s="453"/>
      <c r="F240" s="460"/>
      <c r="G240" s="460"/>
      <c r="H240" s="453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455"/>
      <c r="X240" s="452"/>
      <c r="Y240" s="452"/>
      <c r="Z240" s="452"/>
      <c r="AA240" s="452"/>
      <c r="AB240" s="455"/>
    </row>
    <row r="241" ht="18.0" customHeight="1">
      <c r="A241" s="452"/>
      <c r="B241" s="453"/>
      <c r="C241" s="453"/>
      <c r="D241" s="453"/>
      <c r="E241" s="453"/>
      <c r="F241" s="460"/>
      <c r="G241" s="460"/>
      <c r="H241" s="453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455"/>
      <c r="X241" s="452"/>
      <c r="Y241" s="452"/>
      <c r="Z241" s="452"/>
      <c r="AA241" s="452"/>
      <c r="AB241" s="455"/>
    </row>
    <row r="242" ht="18.0" customHeight="1">
      <c r="A242" s="452"/>
      <c r="B242" s="453"/>
      <c r="C242" s="453"/>
      <c r="D242" s="453"/>
      <c r="E242" s="453"/>
      <c r="F242" s="460"/>
      <c r="G242" s="460"/>
      <c r="H242" s="453"/>
      <c r="I242" s="466"/>
      <c r="J242" s="466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455"/>
      <c r="X242" s="452"/>
      <c r="Y242" s="452"/>
      <c r="Z242" s="452"/>
      <c r="AA242" s="452"/>
      <c r="AB242" s="455"/>
    </row>
    <row r="243" ht="18.0" customHeight="1">
      <c r="A243" s="452"/>
      <c r="B243" s="453"/>
      <c r="C243" s="453"/>
      <c r="D243" s="453"/>
      <c r="E243" s="453"/>
      <c r="F243" s="460"/>
      <c r="G243" s="460"/>
      <c r="H243" s="453"/>
      <c r="I243" s="466"/>
      <c r="J243" s="466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8"/>
      <c r="W243" s="455"/>
      <c r="X243" s="452"/>
      <c r="Y243" s="452"/>
      <c r="Z243" s="452"/>
      <c r="AA243" s="452"/>
      <c r="AB243" s="455"/>
    </row>
    <row r="244" ht="18.0" customHeight="1">
      <c r="A244" s="452"/>
      <c r="B244" s="453"/>
      <c r="C244" s="453"/>
      <c r="D244" s="453"/>
      <c r="E244" s="453"/>
      <c r="F244" s="460"/>
      <c r="G244" s="460"/>
      <c r="H244" s="453"/>
      <c r="I244" s="466"/>
      <c r="J244" s="466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8"/>
      <c r="W244" s="455"/>
      <c r="X244" s="452"/>
      <c r="Y244" s="452"/>
      <c r="Z244" s="452"/>
      <c r="AA244" s="452"/>
      <c r="AB244" s="455"/>
    </row>
    <row r="245" ht="18.0" customHeight="1">
      <c r="A245" s="452"/>
      <c r="B245" s="453"/>
      <c r="C245" s="453"/>
      <c r="D245" s="453"/>
      <c r="E245" s="453"/>
      <c r="F245" s="460"/>
      <c r="G245" s="460"/>
      <c r="H245" s="453"/>
      <c r="I245" s="466"/>
      <c r="J245" s="466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8"/>
      <c r="W245" s="455"/>
      <c r="X245" s="452"/>
      <c r="Y245" s="452"/>
      <c r="Z245" s="452"/>
      <c r="AA245" s="452"/>
      <c r="AB245" s="455"/>
    </row>
    <row r="246" ht="18.0" customHeight="1">
      <c r="A246" s="452"/>
      <c r="B246" s="453"/>
      <c r="C246" s="453"/>
      <c r="D246" s="453"/>
      <c r="E246" s="453"/>
      <c r="F246" s="460"/>
      <c r="G246" s="460"/>
      <c r="H246" s="453"/>
      <c r="I246" s="466"/>
      <c r="J246" s="466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8"/>
      <c r="W246" s="455"/>
      <c r="X246" s="452"/>
      <c r="Y246" s="452"/>
      <c r="Z246" s="452"/>
      <c r="AA246" s="452"/>
      <c r="AB246" s="455"/>
    </row>
    <row r="247" ht="18.0" customHeight="1">
      <c r="A247" s="452"/>
      <c r="B247" s="453"/>
      <c r="C247" s="453"/>
      <c r="D247" s="453"/>
      <c r="E247" s="453"/>
      <c r="F247" s="460"/>
      <c r="G247" s="460"/>
      <c r="H247" s="453"/>
      <c r="I247" s="466"/>
      <c r="J247" s="466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8"/>
      <c r="W247" s="455"/>
      <c r="X247" s="452"/>
      <c r="Y247" s="452"/>
      <c r="Z247" s="452"/>
      <c r="AA247" s="452"/>
      <c r="AB247" s="455"/>
    </row>
    <row r="248" ht="18.0" customHeight="1">
      <c r="A248" s="452"/>
      <c r="B248" s="453"/>
      <c r="C248" s="485"/>
      <c r="D248" s="453"/>
      <c r="E248" s="485"/>
      <c r="F248" s="486"/>
      <c r="G248" s="486"/>
      <c r="H248" s="485"/>
      <c r="I248" s="466"/>
      <c r="J248" s="466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8"/>
      <c r="W248" s="455"/>
      <c r="X248" s="452"/>
      <c r="Y248" s="452"/>
      <c r="Z248" s="452"/>
      <c r="AA248" s="452"/>
      <c r="AB248" s="455"/>
    </row>
    <row r="249" ht="18.0" customHeight="1">
      <c r="A249" s="452"/>
      <c r="B249" s="485"/>
      <c r="C249" s="485"/>
      <c r="D249" s="485"/>
      <c r="E249" s="485"/>
      <c r="F249" s="486"/>
      <c r="G249" s="486"/>
      <c r="H249" s="485"/>
      <c r="I249" s="466"/>
      <c r="J249" s="466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8"/>
      <c r="W249" s="455"/>
      <c r="X249" s="452"/>
      <c r="Y249" s="452"/>
      <c r="Z249" s="452"/>
      <c r="AA249" s="452"/>
      <c r="AB249" s="455"/>
    </row>
    <row r="250" ht="18.0" customHeight="1">
      <c r="A250" s="452"/>
      <c r="B250" s="485"/>
      <c r="C250" s="485"/>
      <c r="D250" s="485"/>
      <c r="E250" s="485"/>
      <c r="F250" s="486"/>
      <c r="G250" s="486"/>
      <c r="H250" s="485"/>
      <c r="I250" s="466"/>
      <c r="J250" s="466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8"/>
      <c r="W250" s="455"/>
      <c r="X250" s="452"/>
      <c r="Y250" s="452"/>
      <c r="Z250" s="452"/>
      <c r="AA250" s="452"/>
      <c r="AB250" s="455"/>
    </row>
    <row r="251" ht="18.0" customHeight="1">
      <c r="A251" s="452"/>
      <c r="B251" s="485"/>
      <c r="C251" s="485"/>
      <c r="D251" s="485"/>
      <c r="E251" s="485"/>
      <c r="F251" s="486"/>
      <c r="G251" s="486"/>
      <c r="H251" s="485"/>
      <c r="I251" s="466"/>
      <c r="J251" s="466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8"/>
      <c r="W251" s="455"/>
      <c r="X251" s="452"/>
      <c r="Y251" s="452"/>
      <c r="Z251" s="452"/>
      <c r="AA251" s="452"/>
      <c r="AB251" s="455"/>
    </row>
    <row r="252" ht="18.0" customHeight="1">
      <c r="A252" s="452"/>
      <c r="B252" s="485"/>
      <c r="C252" s="485"/>
      <c r="D252" s="485"/>
      <c r="E252" s="485"/>
      <c r="F252" s="486"/>
      <c r="G252" s="486"/>
      <c r="H252" s="485"/>
      <c r="I252" s="466"/>
      <c r="J252" s="466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8"/>
      <c r="W252" s="455"/>
      <c r="X252" s="452"/>
      <c r="Y252" s="452"/>
      <c r="Z252" s="452"/>
      <c r="AA252" s="452"/>
      <c r="AB252" s="455"/>
    </row>
    <row r="253" ht="18.0" customHeight="1">
      <c r="A253" s="452"/>
      <c r="B253" s="485"/>
      <c r="C253" s="485"/>
      <c r="D253" s="485"/>
      <c r="E253" s="485"/>
      <c r="F253" s="486"/>
      <c r="G253" s="486"/>
      <c r="H253" s="485"/>
      <c r="I253" s="466"/>
      <c r="J253" s="466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8"/>
      <c r="W253" s="455"/>
      <c r="X253" s="452"/>
      <c r="Y253" s="452"/>
      <c r="Z253" s="452"/>
      <c r="AA253" s="452"/>
      <c r="AB253" s="455"/>
    </row>
    <row r="254" ht="18.0" customHeight="1">
      <c r="A254" s="452"/>
      <c r="B254" s="485"/>
      <c r="C254" s="485"/>
      <c r="D254" s="485"/>
      <c r="E254" s="485"/>
      <c r="F254" s="486"/>
      <c r="G254" s="486"/>
      <c r="H254" s="485"/>
      <c r="I254" s="466"/>
      <c r="J254" s="466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8"/>
      <c r="W254" s="455"/>
      <c r="X254" s="452"/>
      <c r="Y254" s="452"/>
      <c r="Z254" s="452"/>
      <c r="AA254" s="452"/>
      <c r="AB254" s="455"/>
    </row>
    <row r="255" ht="18.0" customHeight="1">
      <c r="A255" s="452"/>
      <c r="B255" s="485"/>
      <c r="C255" s="485"/>
      <c r="D255" s="485"/>
      <c r="E255" s="485"/>
      <c r="F255" s="486"/>
      <c r="G255" s="486"/>
      <c r="H255" s="485"/>
      <c r="I255" s="466"/>
      <c r="J255" s="466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8"/>
      <c r="W255" s="455"/>
      <c r="X255" s="452"/>
      <c r="Y255" s="452"/>
      <c r="Z255" s="452"/>
      <c r="AA255" s="452"/>
      <c r="AB255" s="455"/>
    </row>
    <row r="256" ht="18.0" customHeight="1">
      <c r="A256" s="452"/>
      <c r="B256" s="485"/>
      <c r="C256" s="485"/>
      <c r="D256" s="485"/>
      <c r="E256" s="485"/>
      <c r="F256" s="486"/>
      <c r="G256" s="486"/>
      <c r="H256" s="485"/>
      <c r="I256" s="466"/>
      <c r="J256" s="466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8"/>
      <c r="W256" s="455"/>
      <c r="X256" s="452"/>
      <c r="Y256" s="452"/>
      <c r="Z256" s="452"/>
      <c r="AA256" s="452"/>
      <c r="AB256" s="455"/>
    </row>
    <row r="257" ht="18.0" customHeight="1">
      <c r="A257" s="452"/>
      <c r="B257" s="485"/>
      <c r="C257" s="485"/>
      <c r="D257" s="485"/>
      <c r="E257" s="485"/>
      <c r="F257" s="486"/>
      <c r="G257" s="486"/>
      <c r="H257" s="485"/>
      <c r="I257" s="466"/>
      <c r="J257" s="466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8"/>
      <c r="W257" s="455"/>
      <c r="X257" s="452"/>
      <c r="Y257" s="452"/>
      <c r="Z257" s="452"/>
      <c r="AA257" s="452"/>
      <c r="AB257" s="455"/>
    </row>
    <row r="258" ht="18.0" customHeight="1">
      <c r="A258" s="452"/>
      <c r="B258" s="485"/>
      <c r="C258" s="485"/>
      <c r="D258" s="485"/>
      <c r="E258" s="485"/>
      <c r="F258" s="486"/>
      <c r="G258" s="486"/>
      <c r="H258" s="485"/>
      <c r="I258" s="466"/>
      <c r="J258" s="466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8"/>
      <c r="W258" s="455"/>
      <c r="X258" s="452"/>
      <c r="Y258" s="452"/>
      <c r="Z258" s="452"/>
      <c r="AA258" s="452"/>
      <c r="AB258" s="455"/>
    </row>
    <row r="259" ht="18.0" customHeight="1">
      <c r="A259" s="452"/>
      <c r="B259" s="485"/>
      <c r="C259" s="485"/>
      <c r="D259" s="485"/>
      <c r="E259" s="485"/>
      <c r="F259" s="486"/>
      <c r="G259" s="486"/>
      <c r="H259" s="485"/>
      <c r="I259" s="466"/>
      <c r="J259" s="466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8"/>
      <c r="W259" s="455"/>
      <c r="X259" s="452"/>
      <c r="Y259" s="452"/>
      <c r="Z259" s="452"/>
      <c r="AA259" s="452"/>
      <c r="AB259" s="455"/>
    </row>
    <row r="260" ht="18.0" customHeight="1">
      <c r="A260" s="452"/>
      <c r="B260" s="485"/>
      <c r="C260" s="485"/>
      <c r="D260" s="485"/>
      <c r="E260" s="485"/>
      <c r="F260" s="486"/>
      <c r="G260" s="486"/>
      <c r="H260" s="485"/>
      <c r="I260" s="466"/>
      <c r="J260" s="466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8"/>
      <c r="W260" s="455"/>
      <c r="X260" s="452"/>
      <c r="Y260" s="452"/>
      <c r="Z260" s="452"/>
      <c r="AA260" s="452"/>
      <c r="AB260" s="455"/>
    </row>
    <row r="261" ht="18.0" customHeight="1">
      <c r="A261" s="452"/>
      <c r="B261" s="485"/>
      <c r="C261" s="485"/>
      <c r="D261" s="485"/>
      <c r="E261" s="485"/>
      <c r="F261" s="486"/>
      <c r="G261" s="486"/>
      <c r="H261" s="485"/>
      <c r="I261" s="466"/>
      <c r="J261" s="466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8"/>
      <c r="W261" s="455"/>
      <c r="X261" s="452"/>
      <c r="Y261" s="452"/>
      <c r="Z261" s="452"/>
      <c r="AA261" s="452"/>
      <c r="AB261" s="455"/>
    </row>
    <row r="262" ht="18.0" customHeight="1">
      <c r="A262" s="452"/>
      <c r="B262" s="485"/>
      <c r="C262" s="485"/>
      <c r="D262" s="485"/>
      <c r="E262" s="485"/>
      <c r="F262" s="486"/>
      <c r="G262" s="486"/>
      <c r="H262" s="485"/>
      <c r="I262" s="466"/>
      <c r="J262" s="466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8"/>
      <c r="W262" s="455"/>
      <c r="X262" s="452"/>
      <c r="Y262" s="452"/>
      <c r="Z262" s="452"/>
      <c r="AA262" s="452"/>
      <c r="AB262" s="455"/>
    </row>
    <row r="263" ht="18.0" customHeight="1">
      <c r="A263" s="452"/>
      <c r="B263" s="485"/>
      <c r="C263" s="485"/>
      <c r="D263" s="485"/>
      <c r="E263" s="485"/>
      <c r="F263" s="486"/>
      <c r="G263" s="486"/>
      <c r="H263" s="485"/>
      <c r="I263" s="466"/>
      <c r="J263" s="466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8"/>
      <c r="W263" s="455"/>
      <c r="X263" s="452"/>
      <c r="Y263" s="452"/>
      <c r="Z263" s="452"/>
      <c r="AA263" s="452"/>
      <c r="AB263" s="455"/>
    </row>
    <row r="264" ht="18.0" customHeight="1">
      <c r="A264" s="452"/>
      <c r="B264" s="485"/>
      <c r="C264" s="485"/>
      <c r="D264" s="485"/>
      <c r="E264" s="485"/>
      <c r="F264" s="486"/>
      <c r="G264" s="486"/>
      <c r="H264" s="485"/>
      <c r="I264" s="466"/>
      <c r="J264" s="466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8"/>
      <c r="W264" s="455"/>
      <c r="X264" s="452"/>
      <c r="Y264" s="452"/>
      <c r="Z264" s="452"/>
      <c r="AA264" s="452"/>
      <c r="AB264" s="455"/>
    </row>
    <row r="265" ht="18.0" customHeight="1">
      <c r="A265" s="452"/>
      <c r="B265" s="485"/>
      <c r="C265" s="485"/>
      <c r="D265" s="485"/>
      <c r="E265" s="485"/>
      <c r="F265" s="486"/>
      <c r="G265" s="486"/>
      <c r="H265" s="485"/>
      <c r="I265" s="466"/>
      <c r="J265" s="466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8"/>
      <c r="W265" s="455"/>
      <c r="X265" s="452"/>
      <c r="Y265" s="452"/>
      <c r="Z265" s="452"/>
      <c r="AA265" s="452"/>
      <c r="AB265" s="455"/>
    </row>
    <row r="266" ht="18.0" customHeight="1">
      <c r="A266" s="452"/>
      <c r="B266" s="485"/>
      <c r="C266" s="485"/>
      <c r="D266" s="485"/>
      <c r="E266" s="485"/>
      <c r="F266" s="486"/>
      <c r="G266" s="486"/>
      <c r="H266" s="485"/>
      <c r="I266" s="466"/>
      <c r="J266" s="466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8"/>
      <c r="W266" s="455"/>
      <c r="X266" s="452"/>
      <c r="Y266" s="452"/>
      <c r="Z266" s="452"/>
      <c r="AA266" s="452"/>
      <c r="AB266" s="455"/>
    </row>
    <row r="267" ht="18.0" customHeight="1">
      <c r="A267" s="452"/>
      <c r="B267" s="487"/>
      <c r="C267" s="487"/>
      <c r="D267" s="487"/>
      <c r="E267" s="487"/>
      <c r="F267" s="488"/>
      <c r="G267" s="488"/>
      <c r="H267" s="487"/>
      <c r="I267" s="489"/>
      <c r="J267" s="489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8"/>
      <c r="W267" s="455"/>
      <c r="X267" s="452"/>
      <c r="Y267" s="452"/>
      <c r="Z267" s="452"/>
      <c r="AA267" s="452"/>
      <c r="AB267" s="455"/>
    </row>
    <row r="268" ht="18.0" customHeight="1">
      <c r="A268" s="452"/>
      <c r="B268" s="487"/>
      <c r="C268" s="487"/>
      <c r="D268" s="487"/>
      <c r="E268" s="487"/>
      <c r="F268" s="488"/>
      <c r="G268" s="488"/>
      <c r="H268" s="487"/>
      <c r="I268" s="489"/>
      <c r="J268" s="489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455"/>
      <c r="X268" s="452"/>
      <c r="Y268" s="452"/>
      <c r="Z268" s="452"/>
      <c r="AA268" s="452"/>
      <c r="AB268" s="455"/>
    </row>
    <row r="269" ht="18.0" customHeight="1">
      <c r="A269" s="452"/>
      <c r="B269" s="487"/>
      <c r="C269" s="487"/>
      <c r="D269" s="487"/>
      <c r="E269" s="487"/>
      <c r="F269" s="488"/>
      <c r="G269" s="488"/>
      <c r="H269" s="487"/>
      <c r="I269" s="489"/>
      <c r="J269" s="489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455"/>
      <c r="X269" s="452"/>
      <c r="Y269" s="452"/>
      <c r="Z269" s="452"/>
      <c r="AA269" s="452"/>
      <c r="AB269" s="455"/>
    </row>
    <row r="270" ht="18.0" customHeight="1">
      <c r="A270" s="452"/>
      <c r="B270" s="487"/>
      <c r="C270" s="487"/>
      <c r="D270" s="487"/>
      <c r="E270" s="487"/>
      <c r="F270" s="488"/>
      <c r="G270" s="488"/>
      <c r="H270" s="487"/>
      <c r="I270" s="489"/>
      <c r="J270" s="489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455"/>
      <c r="X270" s="452"/>
      <c r="Y270" s="452"/>
      <c r="Z270" s="452"/>
      <c r="AA270" s="452"/>
      <c r="AB270" s="455"/>
    </row>
    <row r="271" ht="18.0" customHeight="1">
      <c r="A271" s="452"/>
      <c r="B271" s="487"/>
      <c r="C271" s="487"/>
      <c r="D271" s="487"/>
      <c r="E271" s="487"/>
      <c r="F271" s="488"/>
      <c r="G271" s="488"/>
      <c r="H271" s="487"/>
      <c r="I271" s="489"/>
      <c r="J271" s="489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455"/>
      <c r="X271" s="452"/>
      <c r="Y271" s="452"/>
      <c r="Z271" s="452"/>
      <c r="AA271" s="452"/>
      <c r="AB271" s="455"/>
    </row>
    <row r="272" ht="18.0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455"/>
      <c r="X272" s="452"/>
      <c r="Y272" s="452"/>
      <c r="Z272" s="452"/>
      <c r="AA272" s="452"/>
      <c r="AB272" s="455"/>
    </row>
    <row r="273" ht="18.0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455"/>
      <c r="X273" s="452"/>
      <c r="Y273" s="452"/>
      <c r="Z273" s="452"/>
      <c r="AA273" s="452"/>
      <c r="AB273" s="455"/>
    </row>
    <row r="274" ht="18.0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455"/>
      <c r="X274" s="452"/>
      <c r="Y274" s="452"/>
      <c r="Z274" s="452"/>
      <c r="AA274" s="452"/>
      <c r="AB274" s="455"/>
    </row>
    <row r="275" ht="18.0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455"/>
      <c r="X275" s="452"/>
      <c r="Y275" s="452"/>
      <c r="Z275" s="452"/>
      <c r="AA275" s="452"/>
      <c r="AB275" s="455"/>
    </row>
    <row r="276" ht="18.0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455"/>
      <c r="X276" s="452"/>
      <c r="Y276" s="452"/>
      <c r="Z276" s="452"/>
      <c r="AA276" s="452"/>
      <c r="AB276" s="455"/>
    </row>
    <row r="277" ht="18.0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455"/>
      <c r="X277" s="452"/>
      <c r="Y277" s="452"/>
      <c r="Z277" s="452"/>
      <c r="AA277" s="452"/>
      <c r="AB277" s="455"/>
    </row>
    <row r="278" ht="18.0" customHeight="1">
      <c r="A278" s="452"/>
      <c r="B278" s="490"/>
      <c r="C278" s="490"/>
      <c r="D278" s="490"/>
      <c r="E278" s="490"/>
      <c r="F278" s="491"/>
      <c r="G278" s="491"/>
      <c r="H278" s="490"/>
      <c r="I278" s="492"/>
      <c r="J278" s="492"/>
      <c r="K278" s="455"/>
      <c r="L278" s="455"/>
      <c r="M278" s="455"/>
      <c r="N278" s="455"/>
      <c r="O278" s="452"/>
      <c r="P278" s="452"/>
      <c r="Q278" s="452"/>
      <c r="R278" s="455"/>
      <c r="S278" s="455"/>
      <c r="T278" s="455"/>
      <c r="U278" s="455"/>
      <c r="V278" s="455"/>
      <c r="W278" s="455"/>
      <c r="X278" s="452"/>
      <c r="Y278" s="452"/>
      <c r="Z278" s="452"/>
      <c r="AA278" s="452"/>
      <c r="AB278" s="455"/>
    </row>
    <row r="279" ht="18.0" customHeight="1">
      <c r="A279" s="452"/>
      <c r="B279" s="490"/>
      <c r="C279" s="490"/>
      <c r="D279" s="490"/>
      <c r="E279" s="490"/>
      <c r="F279" s="491"/>
      <c r="G279" s="491"/>
      <c r="H279" s="490"/>
      <c r="I279" s="492"/>
      <c r="J279" s="492"/>
      <c r="K279" s="455"/>
      <c r="L279" s="455"/>
      <c r="M279" s="455"/>
      <c r="N279" s="455"/>
      <c r="O279" s="452"/>
      <c r="P279" s="452"/>
      <c r="Q279" s="452"/>
      <c r="R279" s="455"/>
      <c r="S279" s="455"/>
      <c r="T279" s="455"/>
      <c r="U279" s="455"/>
      <c r="V279" s="455"/>
      <c r="W279" s="455"/>
      <c r="X279" s="452"/>
      <c r="Y279" s="452"/>
      <c r="Z279" s="452"/>
      <c r="AA279" s="452"/>
      <c r="AB279" s="455"/>
    </row>
    <row r="280" ht="18.0" customHeight="1">
      <c r="A280" s="452"/>
      <c r="B280" s="490"/>
      <c r="C280" s="490"/>
      <c r="D280" s="490"/>
      <c r="E280" s="490"/>
      <c r="F280" s="491"/>
      <c r="G280" s="491"/>
      <c r="H280" s="490"/>
      <c r="I280" s="492"/>
      <c r="J280" s="492"/>
      <c r="K280" s="455"/>
      <c r="L280" s="455"/>
      <c r="M280" s="455"/>
      <c r="N280" s="455"/>
      <c r="O280" s="452"/>
      <c r="P280" s="452"/>
      <c r="Q280" s="452"/>
      <c r="R280" s="455"/>
      <c r="S280" s="455"/>
      <c r="T280" s="455"/>
      <c r="U280" s="455"/>
      <c r="V280" s="455"/>
      <c r="W280" s="455"/>
      <c r="X280" s="452"/>
      <c r="Y280" s="452"/>
      <c r="Z280" s="452"/>
      <c r="AA280" s="452"/>
      <c r="AB280" s="455"/>
    </row>
    <row r="281" ht="18.0" customHeight="1">
      <c r="A281" s="452"/>
      <c r="B281" s="490"/>
      <c r="C281" s="490"/>
      <c r="D281" s="490"/>
      <c r="E281" s="490"/>
      <c r="F281" s="491"/>
      <c r="G281" s="491"/>
      <c r="H281" s="490"/>
      <c r="I281" s="492"/>
      <c r="J281" s="492"/>
      <c r="K281" s="455"/>
      <c r="L281" s="455"/>
      <c r="M281" s="455"/>
      <c r="N281" s="455"/>
      <c r="O281" s="452"/>
      <c r="P281" s="452"/>
      <c r="Q281" s="452"/>
      <c r="R281" s="455"/>
      <c r="S281" s="455"/>
      <c r="T281" s="455"/>
      <c r="U281" s="455"/>
      <c r="V281" s="455"/>
      <c r="W281" s="455"/>
      <c r="X281" s="452"/>
      <c r="Y281" s="452"/>
      <c r="Z281" s="452"/>
      <c r="AA281" s="452"/>
      <c r="AB281" s="455"/>
    </row>
    <row r="282" ht="18.0" customHeight="1">
      <c r="A282" s="452"/>
      <c r="B282" s="490"/>
      <c r="C282" s="490"/>
      <c r="D282" s="490"/>
      <c r="E282" s="490"/>
      <c r="F282" s="491"/>
      <c r="G282" s="491"/>
      <c r="H282" s="490"/>
      <c r="I282" s="492"/>
      <c r="J282" s="492"/>
      <c r="K282" s="455"/>
      <c r="L282" s="455"/>
      <c r="M282" s="455"/>
      <c r="N282" s="455"/>
      <c r="O282" s="452"/>
      <c r="P282" s="452"/>
      <c r="Q282" s="452"/>
      <c r="R282" s="455"/>
      <c r="S282" s="455"/>
      <c r="T282" s="455"/>
      <c r="U282" s="455"/>
      <c r="V282" s="455"/>
      <c r="W282" s="455"/>
      <c r="X282" s="452"/>
      <c r="Y282" s="452"/>
      <c r="Z282" s="452"/>
      <c r="AA282" s="452"/>
      <c r="AB282" s="455"/>
    </row>
    <row r="283" ht="18.0" customHeight="1">
      <c r="A283" s="452"/>
      <c r="B283" s="490"/>
      <c r="C283" s="490"/>
      <c r="D283" s="490"/>
      <c r="E283" s="490"/>
      <c r="F283" s="491"/>
      <c r="G283" s="491"/>
      <c r="H283" s="490"/>
      <c r="I283" s="492"/>
      <c r="J283" s="492"/>
      <c r="K283" s="455"/>
      <c r="L283" s="455"/>
      <c r="M283" s="455"/>
      <c r="N283" s="455"/>
      <c r="O283" s="452"/>
      <c r="P283" s="452"/>
      <c r="Q283" s="452"/>
      <c r="R283" s="455"/>
      <c r="S283" s="455"/>
      <c r="T283" s="455"/>
      <c r="U283" s="455"/>
      <c r="V283" s="455"/>
      <c r="W283" s="455"/>
      <c r="X283" s="452"/>
      <c r="Y283" s="452"/>
      <c r="Z283" s="452"/>
      <c r="AA283" s="452"/>
      <c r="AB283" s="455"/>
    </row>
    <row r="284" ht="18.0" customHeight="1">
      <c r="A284" s="452"/>
      <c r="B284" s="490"/>
      <c r="C284" s="490"/>
      <c r="D284" s="490"/>
      <c r="E284" s="490"/>
      <c r="F284" s="491"/>
      <c r="G284" s="491"/>
      <c r="H284" s="490"/>
      <c r="I284" s="492"/>
      <c r="J284" s="492"/>
      <c r="K284" s="455"/>
      <c r="L284" s="455"/>
      <c r="M284" s="455"/>
      <c r="N284" s="455"/>
      <c r="O284" s="452"/>
      <c r="P284" s="452"/>
      <c r="Q284" s="452"/>
      <c r="R284" s="455"/>
      <c r="S284" s="455"/>
      <c r="T284" s="455"/>
      <c r="U284" s="455"/>
      <c r="V284" s="455"/>
      <c r="W284" s="455"/>
      <c r="X284" s="452"/>
      <c r="Y284" s="452"/>
      <c r="Z284" s="452"/>
      <c r="AA284" s="452"/>
      <c r="AB284" s="455"/>
    </row>
    <row r="285" ht="18.0" customHeight="1">
      <c r="A285" s="452"/>
      <c r="B285" s="490"/>
      <c r="C285" s="490"/>
      <c r="D285" s="490"/>
      <c r="E285" s="490"/>
      <c r="F285" s="491"/>
      <c r="G285" s="491"/>
      <c r="H285" s="490"/>
      <c r="I285" s="492"/>
      <c r="J285" s="492"/>
      <c r="K285" s="455"/>
      <c r="L285" s="455"/>
      <c r="M285" s="455"/>
      <c r="N285" s="455"/>
      <c r="O285" s="452"/>
      <c r="P285" s="452"/>
      <c r="Q285" s="452"/>
      <c r="R285" s="455"/>
      <c r="S285" s="455"/>
      <c r="T285" s="455"/>
      <c r="U285" s="455"/>
      <c r="V285" s="455"/>
      <c r="W285" s="455"/>
      <c r="X285" s="452"/>
      <c r="Y285" s="452"/>
      <c r="Z285" s="452"/>
      <c r="AA285" s="452"/>
      <c r="AB285" s="455"/>
    </row>
    <row r="286" ht="18.0" customHeight="1">
      <c r="A286" s="452"/>
      <c r="B286" s="490"/>
      <c r="C286" s="490"/>
      <c r="D286" s="490"/>
      <c r="E286" s="490"/>
      <c r="F286" s="491"/>
      <c r="G286" s="491"/>
      <c r="H286" s="490"/>
      <c r="I286" s="492"/>
      <c r="J286" s="492"/>
      <c r="K286" s="455"/>
      <c r="L286" s="455"/>
      <c r="M286" s="455"/>
      <c r="N286" s="455"/>
      <c r="O286" s="452"/>
      <c r="P286" s="452"/>
      <c r="Q286" s="452"/>
      <c r="R286" s="455"/>
      <c r="S286" s="455"/>
      <c r="T286" s="455"/>
      <c r="U286" s="455"/>
      <c r="V286" s="455"/>
      <c r="W286" s="455"/>
      <c r="X286" s="452"/>
      <c r="Y286" s="452"/>
      <c r="Z286" s="452"/>
      <c r="AA286" s="452"/>
      <c r="AB286" s="455"/>
    </row>
    <row r="287" ht="18.0" customHeight="1">
      <c r="A287" s="452"/>
      <c r="B287" s="490"/>
      <c r="C287" s="490"/>
      <c r="D287" s="490"/>
      <c r="E287" s="490"/>
      <c r="F287" s="491"/>
      <c r="G287" s="491"/>
      <c r="H287" s="490"/>
      <c r="I287" s="492"/>
      <c r="J287" s="492"/>
      <c r="K287" s="455"/>
      <c r="L287" s="455"/>
      <c r="M287" s="455"/>
      <c r="N287" s="455"/>
      <c r="O287" s="452"/>
      <c r="P287" s="452"/>
      <c r="Q287" s="452"/>
      <c r="R287" s="455"/>
      <c r="S287" s="455"/>
      <c r="T287" s="455"/>
      <c r="U287" s="455"/>
      <c r="V287" s="455"/>
      <c r="W287" s="455"/>
      <c r="X287" s="452"/>
      <c r="Y287" s="452"/>
      <c r="Z287" s="452"/>
      <c r="AA287" s="452"/>
      <c r="AB287" s="455"/>
    </row>
    <row r="288" ht="18.0" customHeight="1">
      <c r="A288" s="452"/>
      <c r="B288" s="490"/>
      <c r="C288" s="490"/>
      <c r="D288" s="490"/>
      <c r="E288" s="490"/>
      <c r="F288" s="491"/>
      <c r="G288" s="491"/>
      <c r="H288" s="490"/>
      <c r="I288" s="492"/>
      <c r="J288" s="492"/>
      <c r="K288" s="455"/>
      <c r="L288" s="455"/>
      <c r="M288" s="455"/>
      <c r="N288" s="455"/>
      <c r="O288" s="452"/>
      <c r="P288" s="452"/>
      <c r="Q288" s="452"/>
      <c r="R288" s="455"/>
      <c r="S288" s="455"/>
      <c r="T288" s="455"/>
      <c r="U288" s="455"/>
      <c r="V288" s="455"/>
      <c r="W288" s="455"/>
      <c r="X288" s="452"/>
      <c r="Y288" s="452"/>
      <c r="Z288" s="452"/>
      <c r="AA288" s="452"/>
      <c r="AB288" s="455"/>
    </row>
    <row r="289" ht="18.0" customHeight="1">
      <c r="A289" s="452"/>
      <c r="B289" s="490"/>
      <c r="C289" s="490"/>
      <c r="D289" s="490"/>
      <c r="E289" s="490"/>
      <c r="F289" s="491"/>
      <c r="G289" s="491"/>
      <c r="H289" s="490"/>
      <c r="I289" s="492"/>
      <c r="J289" s="492"/>
      <c r="K289" s="455"/>
      <c r="L289" s="455"/>
      <c r="M289" s="455"/>
      <c r="N289" s="455"/>
      <c r="O289" s="452"/>
      <c r="P289" s="452"/>
      <c r="Q289" s="452"/>
      <c r="R289" s="455"/>
      <c r="S289" s="455"/>
      <c r="T289" s="455"/>
      <c r="U289" s="455"/>
      <c r="V289" s="455"/>
      <c r="W289" s="455"/>
      <c r="X289" s="452"/>
      <c r="Y289" s="452"/>
      <c r="Z289" s="452"/>
      <c r="AA289" s="452"/>
      <c r="AB289" s="455"/>
    </row>
    <row r="290" ht="18.0" customHeight="1">
      <c r="A290" s="452"/>
      <c r="B290" s="490"/>
      <c r="C290" s="490"/>
      <c r="D290" s="490"/>
      <c r="E290" s="490"/>
      <c r="F290" s="491"/>
      <c r="G290" s="491"/>
      <c r="H290" s="490"/>
      <c r="I290" s="492"/>
      <c r="J290" s="492"/>
      <c r="K290" s="455"/>
      <c r="L290" s="455"/>
      <c r="M290" s="455"/>
      <c r="N290" s="455"/>
      <c r="O290" s="452"/>
      <c r="P290" s="452"/>
      <c r="Q290" s="452"/>
      <c r="R290" s="455"/>
      <c r="S290" s="455"/>
      <c r="T290" s="455"/>
      <c r="U290" s="455"/>
      <c r="V290" s="455"/>
      <c r="W290" s="455"/>
      <c r="X290" s="452"/>
      <c r="Y290" s="452"/>
      <c r="Z290" s="452"/>
      <c r="AA290" s="452"/>
      <c r="AB290" s="455"/>
    </row>
    <row r="291" ht="18.0" customHeight="1">
      <c r="A291" s="452"/>
      <c r="B291" s="490"/>
      <c r="C291" s="490"/>
      <c r="D291" s="490"/>
      <c r="E291" s="490"/>
      <c r="F291" s="491"/>
      <c r="G291" s="491"/>
      <c r="H291" s="490"/>
      <c r="I291" s="492"/>
      <c r="J291" s="492"/>
      <c r="K291" s="455"/>
      <c r="L291" s="455"/>
      <c r="M291" s="455"/>
      <c r="N291" s="455"/>
      <c r="O291" s="452"/>
      <c r="P291" s="452"/>
      <c r="Q291" s="452"/>
      <c r="R291" s="455"/>
      <c r="S291" s="455"/>
      <c r="T291" s="455"/>
      <c r="U291" s="455"/>
      <c r="V291" s="455"/>
      <c r="W291" s="455"/>
      <c r="X291" s="452"/>
      <c r="Y291" s="452"/>
      <c r="Z291" s="452"/>
      <c r="AA291" s="452"/>
      <c r="AB291" s="455"/>
    </row>
    <row r="292" ht="18.0" customHeight="1">
      <c r="A292" s="452"/>
      <c r="B292" s="490"/>
      <c r="C292" s="490"/>
      <c r="D292" s="490"/>
      <c r="E292" s="490"/>
      <c r="F292" s="491"/>
      <c r="G292" s="491"/>
      <c r="H292" s="490"/>
      <c r="I292" s="492"/>
      <c r="J292" s="492"/>
      <c r="K292" s="455"/>
      <c r="L292" s="455"/>
      <c r="M292" s="455"/>
      <c r="N292" s="455"/>
      <c r="O292" s="452"/>
      <c r="P292" s="452"/>
      <c r="Q292" s="452"/>
      <c r="R292" s="455"/>
      <c r="S292" s="455"/>
      <c r="T292" s="455"/>
      <c r="U292" s="455"/>
      <c r="V292" s="455"/>
      <c r="W292" s="455"/>
      <c r="X292" s="452"/>
      <c r="Y292" s="452"/>
      <c r="Z292" s="452"/>
      <c r="AA292" s="452"/>
      <c r="AB292" s="455"/>
    </row>
    <row r="293" ht="18.0" customHeight="1">
      <c r="A293" s="452"/>
      <c r="B293" s="490"/>
      <c r="C293" s="490"/>
      <c r="D293" s="490"/>
      <c r="E293" s="490"/>
      <c r="F293" s="491"/>
      <c r="G293" s="491"/>
      <c r="H293" s="490"/>
      <c r="I293" s="492"/>
      <c r="J293" s="492"/>
      <c r="K293" s="455"/>
      <c r="L293" s="455"/>
      <c r="M293" s="455"/>
      <c r="N293" s="455"/>
      <c r="O293" s="452"/>
      <c r="P293" s="452"/>
      <c r="Q293" s="452"/>
      <c r="R293" s="455"/>
      <c r="S293" s="455"/>
      <c r="T293" s="455"/>
      <c r="U293" s="455"/>
      <c r="V293" s="455"/>
      <c r="W293" s="455"/>
      <c r="X293" s="452"/>
      <c r="Y293" s="452"/>
      <c r="Z293" s="452"/>
      <c r="AA293" s="452"/>
      <c r="AB293" s="455"/>
    </row>
    <row r="294" ht="18.0" customHeight="1">
      <c r="A294" s="452"/>
      <c r="B294" s="490"/>
      <c r="C294" s="490"/>
      <c r="D294" s="490"/>
      <c r="E294" s="490"/>
      <c r="F294" s="491"/>
      <c r="G294" s="491"/>
      <c r="H294" s="490"/>
      <c r="I294" s="492"/>
      <c r="J294" s="492"/>
      <c r="K294" s="455"/>
      <c r="L294" s="455"/>
      <c r="M294" s="455"/>
      <c r="N294" s="455"/>
      <c r="O294" s="452"/>
      <c r="P294" s="452"/>
      <c r="Q294" s="452"/>
      <c r="R294" s="455"/>
      <c r="S294" s="455"/>
      <c r="T294" s="455"/>
      <c r="U294" s="455"/>
      <c r="V294" s="455"/>
      <c r="W294" s="455"/>
      <c r="X294" s="452"/>
      <c r="Y294" s="452"/>
      <c r="Z294" s="452"/>
      <c r="AA294" s="452"/>
      <c r="AB294" s="455"/>
    </row>
    <row r="295" ht="18.0" customHeight="1">
      <c r="A295" s="452"/>
      <c r="B295" s="490"/>
      <c r="C295" s="490"/>
      <c r="D295" s="490"/>
      <c r="E295" s="490"/>
      <c r="F295" s="491"/>
      <c r="G295" s="491"/>
      <c r="H295" s="490"/>
      <c r="I295" s="492"/>
      <c r="J295" s="492"/>
      <c r="K295" s="455"/>
      <c r="L295" s="455"/>
      <c r="M295" s="455"/>
      <c r="N295" s="455"/>
      <c r="O295" s="452"/>
      <c r="P295" s="452"/>
      <c r="Q295" s="452"/>
      <c r="R295" s="455"/>
      <c r="S295" s="455"/>
      <c r="T295" s="455"/>
      <c r="U295" s="455"/>
      <c r="V295" s="455"/>
      <c r="W295" s="455"/>
      <c r="X295" s="452"/>
      <c r="Y295" s="452"/>
      <c r="Z295" s="452"/>
      <c r="AA295" s="452"/>
      <c r="AB295" s="455"/>
    </row>
    <row r="296" ht="18.0" customHeight="1">
      <c r="A296" s="452"/>
      <c r="B296" s="490"/>
      <c r="C296" s="490"/>
      <c r="D296" s="490"/>
      <c r="E296" s="490"/>
      <c r="F296" s="491"/>
      <c r="G296" s="491"/>
      <c r="H296" s="490"/>
      <c r="I296" s="492"/>
      <c r="J296" s="492"/>
      <c r="K296" s="455"/>
      <c r="L296" s="455"/>
      <c r="M296" s="455"/>
      <c r="N296" s="455"/>
      <c r="O296" s="452"/>
      <c r="P296" s="452"/>
      <c r="Q296" s="452"/>
      <c r="R296" s="455"/>
      <c r="S296" s="455"/>
      <c r="T296" s="455"/>
      <c r="U296" s="455"/>
      <c r="V296" s="455"/>
      <c r="W296" s="455"/>
      <c r="X296" s="452"/>
      <c r="Y296" s="452"/>
      <c r="Z296" s="452"/>
      <c r="AA296" s="452"/>
      <c r="AB296" s="455"/>
    </row>
    <row r="297" ht="18.0" customHeight="1">
      <c r="A297" s="452"/>
      <c r="B297" s="490"/>
      <c r="C297" s="490"/>
      <c r="D297" s="490"/>
      <c r="E297" s="490"/>
      <c r="F297" s="491"/>
      <c r="G297" s="491"/>
      <c r="H297" s="490"/>
      <c r="I297" s="492"/>
      <c r="J297" s="492"/>
      <c r="K297" s="455"/>
      <c r="L297" s="455"/>
      <c r="M297" s="455"/>
      <c r="N297" s="455"/>
      <c r="O297" s="452"/>
      <c r="P297" s="452"/>
      <c r="Q297" s="452"/>
      <c r="R297" s="455"/>
      <c r="S297" s="455"/>
      <c r="T297" s="455"/>
      <c r="U297" s="455"/>
      <c r="V297" s="455"/>
      <c r="W297" s="455"/>
      <c r="X297" s="452"/>
      <c r="Y297" s="452"/>
      <c r="Z297" s="452"/>
      <c r="AA297" s="452"/>
      <c r="AB297" s="455"/>
    </row>
    <row r="298" ht="18.0" customHeight="1">
      <c r="A298" s="452"/>
      <c r="B298" s="490"/>
      <c r="C298" s="490"/>
      <c r="D298" s="490"/>
      <c r="E298" s="490"/>
      <c r="F298" s="491"/>
      <c r="G298" s="491"/>
      <c r="H298" s="490"/>
      <c r="I298" s="492"/>
      <c r="J298" s="492"/>
      <c r="K298" s="455"/>
      <c r="L298" s="455"/>
      <c r="M298" s="455"/>
      <c r="N298" s="455"/>
      <c r="O298" s="452"/>
      <c r="P298" s="452"/>
      <c r="Q298" s="452"/>
      <c r="R298" s="455"/>
      <c r="S298" s="455"/>
      <c r="T298" s="455"/>
      <c r="U298" s="455"/>
      <c r="V298" s="455"/>
      <c r="W298" s="455"/>
      <c r="X298" s="452"/>
      <c r="Y298" s="452"/>
      <c r="Z298" s="452"/>
      <c r="AA298" s="452"/>
      <c r="AB298" s="455"/>
    </row>
    <row r="299" ht="18.0" customHeight="1">
      <c r="A299" s="452"/>
      <c r="B299" s="490"/>
      <c r="C299" s="490"/>
      <c r="D299" s="490"/>
      <c r="E299" s="490"/>
      <c r="F299" s="491"/>
      <c r="G299" s="491"/>
      <c r="H299" s="490"/>
      <c r="I299" s="492"/>
      <c r="J299" s="492"/>
      <c r="K299" s="455"/>
      <c r="L299" s="455"/>
      <c r="M299" s="455"/>
      <c r="N299" s="455"/>
      <c r="O299" s="452"/>
      <c r="P299" s="452"/>
      <c r="Q299" s="452"/>
      <c r="R299" s="455"/>
      <c r="S299" s="455"/>
      <c r="T299" s="455"/>
      <c r="U299" s="455"/>
      <c r="V299" s="455"/>
      <c r="W299" s="455"/>
      <c r="X299" s="452"/>
      <c r="Y299" s="452"/>
      <c r="Z299" s="452"/>
      <c r="AA299" s="452"/>
      <c r="AB299" s="455"/>
    </row>
    <row r="300" ht="18.0" customHeight="1">
      <c r="A300" s="452"/>
      <c r="B300" s="490"/>
      <c r="C300" s="490"/>
      <c r="D300" s="490"/>
      <c r="E300" s="490"/>
      <c r="F300" s="491"/>
      <c r="G300" s="491"/>
      <c r="H300" s="490"/>
      <c r="I300" s="492"/>
      <c r="J300" s="492"/>
      <c r="K300" s="455"/>
      <c r="L300" s="455"/>
      <c r="M300" s="455"/>
      <c r="N300" s="455"/>
      <c r="O300" s="452"/>
      <c r="P300" s="452"/>
      <c r="Q300" s="452"/>
      <c r="R300" s="455"/>
      <c r="S300" s="455"/>
      <c r="T300" s="455"/>
      <c r="U300" s="455"/>
      <c r="V300" s="455"/>
      <c r="W300" s="455"/>
      <c r="X300" s="452"/>
      <c r="Y300" s="452"/>
      <c r="Z300" s="452"/>
      <c r="AA300" s="452"/>
      <c r="AB300" s="455"/>
    </row>
    <row r="301" ht="18.0" customHeight="1">
      <c r="A301" s="452"/>
      <c r="B301" s="490"/>
      <c r="C301" s="490"/>
      <c r="D301" s="490"/>
      <c r="E301" s="490"/>
      <c r="F301" s="491"/>
      <c r="G301" s="491"/>
      <c r="H301" s="490"/>
      <c r="I301" s="492"/>
      <c r="J301" s="492"/>
      <c r="K301" s="455"/>
      <c r="L301" s="455"/>
      <c r="M301" s="455"/>
      <c r="N301" s="455"/>
      <c r="O301" s="452"/>
      <c r="P301" s="452"/>
      <c r="Q301" s="452"/>
      <c r="R301" s="455"/>
      <c r="S301" s="455"/>
      <c r="T301" s="455"/>
      <c r="U301" s="455"/>
      <c r="V301" s="455"/>
      <c r="W301" s="455"/>
      <c r="X301" s="452"/>
      <c r="Y301" s="452"/>
      <c r="Z301" s="452"/>
      <c r="AA301" s="452"/>
      <c r="AB301" s="455"/>
    </row>
    <row r="302" ht="18.0" customHeight="1">
      <c r="A302" s="452"/>
      <c r="B302" s="490"/>
      <c r="C302" s="490"/>
      <c r="D302" s="490"/>
      <c r="E302" s="490"/>
      <c r="F302" s="491"/>
      <c r="G302" s="491"/>
      <c r="H302" s="490"/>
      <c r="I302" s="492"/>
      <c r="J302" s="492"/>
      <c r="K302" s="455"/>
      <c r="L302" s="455"/>
      <c r="M302" s="455"/>
      <c r="N302" s="455"/>
      <c r="O302" s="452"/>
      <c r="P302" s="452"/>
      <c r="Q302" s="452"/>
      <c r="R302" s="455"/>
      <c r="S302" s="455"/>
      <c r="T302" s="455"/>
      <c r="U302" s="455"/>
      <c r="V302" s="455"/>
      <c r="W302" s="455"/>
      <c r="X302" s="452"/>
      <c r="Y302" s="452"/>
      <c r="Z302" s="452"/>
      <c r="AA302" s="452"/>
      <c r="AB302" s="455"/>
    </row>
    <row r="303" ht="18.0" customHeight="1">
      <c r="A303" s="343"/>
      <c r="B303" s="455"/>
      <c r="C303" s="455"/>
      <c r="D303" s="455"/>
      <c r="E303" s="455"/>
      <c r="F303" s="493"/>
      <c r="G303" s="493"/>
      <c r="H303" s="472"/>
      <c r="I303" s="472"/>
      <c r="J303" s="472"/>
      <c r="K303" s="454"/>
      <c r="L303" s="454"/>
      <c r="M303" s="454"/>
      <c r="N303" s="454"/>
      <c r="O303" s="454"/>
      <c r="P303" s="454"/>
      <c r="Q303" s="454"/>
      <c r="R303" s="343"/>
      <c r="S303" s="343"/>
      <c r="T303" s="343"/>
      <c r="U303" s="343"/>
      <c r="V303" s="343"/>
      <c r="W303" s="343"/>
      <c r="X303" s="343"/>
      <c r="Y303" s="343"/>
      <c r="Z303" s="343"/>
      <c r="AA303" s="343"/>
      <c r="AB303" s="343"/>
    </row>
    <row r="304" ht="18.0" customHeight="1">
      <c r="A304" s="343"/>
      <c r="B304" s="455"/>
      <c r="C304" s="455"/>
      <c r="D304" s="455"/>
      <c r="E304" s="455"/>
      <c r="F304" s="494"/>
      <c r="G304" s="494"/>
      <c r="H304" s="455"/>
      <c r="I304" s="343"/>
      <c r="J304" s="343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  <c r="AA304" s="343"/>
      <c r="AB304" s="343"/>
    </row>
    <row r="305" ht="18.0" customHeight="1">
      <c r="A305" s="343"/>
      <c r="B305" s="343"/>
      <c r="C305" s="343"/>
      <c r="D305" s="343"/>
      <c r="E305" s="343"/>
      <c r="F305" s="495"/>
      <c r="G305" s="495"/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  <c r="AA305" s="343"/>
      <c r="AB305" s="343"/>
    </row>
    <row r="306" ht="18.0" customHeight="1">
      <c r="A306" s="343"/>
      <c r="B306" s="343"/>
      <c r="C306" s="343"/>
      <c r="D306" s="343"/>
      <c r="E306" s="343"/>
      <c r="F306" s="495"/>
      <c r="G306" s="495"/>
      <c r="H306" s="343"/>
      <c r="I306" s="343"/>
      <c r="J306" s="343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  <c r="AA306" s="343"/>
      <c r="AB306" s="343"/>
    </row>
    <row r="307" ht="18.0" customHeight="1">
      <c r="A307" s="343"/>
      <c r="B307" s="343"/>
      <c r="C307" s="343"/>
      <c r="D307" s="343"/>
      <c r="E307" s="343"/>
      <c r="F307" s="495"/>
      <c r="G307" s="495"/>
      <c r="H307" s="343"/>
      <c r="I307" s="343"/>
      <c r="J307" s="343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  <c r="AA307" s="343"/>
      <c r="AB307" s="343"/>
    </row>
    <row r="308" ht="18.0" customHeight="1">
      <c r="A308" s="139"/>
      <c r="B308" s="343"/>
      <c r="C308" s="343"/>
      <c r="D308" s="343"/>
      <c r="E308" s="343"/>
      <c r="F308" s="495"/>
      <c r="G308" s="495"/>
      <c r="H308" s="343"/>
      <c r="I308" s="343"/>
      <c r="J308" s="343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  <c r="AA308" s="343"/>
      <c r="AB308" s="343"/>
    </row>
    <row r="309" ht="18.0" customHeight="1">
      <c r="A309" s="343"/>
      <c r="B309" s="343"/>
      <c r="C309" s="343"/>
      <c r="D309" s="343"/>
      <c r="E309" s="343"/>
      <c r="F309" s="495"/>
      <c r="G309" s="495"/>
      <c r="H309" s="343"/>
      <c r="I309" s="343"/>
      <c r="J309" s="343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  <c r="AA309" s="343"/>
      <c r="AB309" s="343"/>
    </row>
    <row r="310" ht="18.0" customHeight="1">
      <c r="A310" s="343"/>
      <c r="B310" s="472"/>
      <c r="C310" s="496"/>
      <c r="D310" s="496"/>
      <c r="E310" s="496"/>
      <c r="F310" s="497"/>
      <c r="G310" s="497"/>
      <c r="H310" s="472"/>
      <c r="I310" s="472"/>
      <c r="J310" s="472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  <c r="AA310" s="343"/>
      <c r="AB310" s="343"/>
    </row>
    <row r="311" ht="18.0" customHeight="1">
      <c r="A311" s="498"/>
      <c r="B311" s="453"/>
      <c r="C311" s="453"/>
      <c r="D311" s="453"/>
      <c r="E311" s="453"/>
      <c r="F311" s="460"/>
      <c r="G311" s="460"/>
      <c r="H311" s="453"/>
      <c r="I311" s="466"/>
      <c r="J311" s="466"/>
      <c r="K311" s="343"/>
      <c r="L311" s="343"/>
      <c r="M311" s="343"/>
      <c r="N311" s="343"/>
      <c r="O311" s="499"/>
      <c r="P311" s="499"/>
      <c r="Q311" s="499"/>
      <c r="R311" s="343"/>
      <c r="S311" s="343"/>
      <c r="T311" s="343"/>
      <c r="U311" s="343"/>
      <c r="V311" s="343"/>
      <c r="W311" s="343"/>
      <c r="X311" s="343"/>
      <c r="Y311" s="343"/>
      <c r="Z311" s="343"/>
      <c r="AA311" s="343"/>
      <c r="AB311" s="343"/>
    </row>
    <row r="312" ht="18.0" customHeight="1">
      <c r="A312" s="498"/>
      <c r="B312" s="453"/>
      <c r="C312" s="453"/>
      <c r="D312" s="453"/>
      <c r="E312" s="453"/>
      <c r="F312" s="460"/>
      <c r="G312" s="460"/>
      <c r="H312" s="453"/>
      <c r="I312" s="466"/>
      <c r="J312" s="466"/>
      <c r="K312" s="343"/>
      <c r="L312" s="343"/>
      <c r="M312" s="343"/>
      <c r="N312" s="343"/>
      <c r="O312" s="499"/>
      <c r="P312" s="499"/>
      <c r="Q312" s="499"/>
      <c r="R312" s="343"/>
      <c r="S312" s="343"/>
      <c r="T312" s="343"/>
      <c r="U312" s="343"/>
      <c r="V312" s="343"/>
      <c r="W312" s="343"/>
      <c r="X312" s="490"/>
      <c r="Y312" s="490"/>
      <c r="Z312" s="343"/>
      <c r="AA312" s="343"/>
      <c r="AB312" s="343"/>
    </row>
    <row r="313" ht="18.0" customHeight="1">
      <c r="A313" s="498"/>
      <c r="B313" s="453"/>
      <c r="C313" s="453"/>
      <c r="D313" s="453"/>
      <c r="E313" s="453"/>
      <c r="F313" s="460"/>
      <c r="G313" s="460"/>
      <c r="H313" s="453"/>
      <c r="I313" s="466"/>
      <c r="J313" s="466"/>
      <c r="K313" s="343"/>
      <c r="L313" s="343"/>
      <c r="M313" s="343"/>
      <c r="N313" s="343"/>
      <c r="O313" s="499"/>
      <c r="P313" s="499"/>
      <c r="Q313" s="499"/>
      <c r="R313" s="343"/>
      <c r="S313" s="343"/>
      <c r="T313" s="343"/>
      <c r="U313" s="343"/>
      <c r="V313" s="343"/>
      <c r="W313" s="343"/>
      <c r="X313" s="490"/>
      <c r="Y313" s="490"/>
      <c r="Z313" s="343"/>
      <c r="AA313" s="343"/>
      <c r="AB313" s="343"/>
    </row>
    <row r="314" ht="18.0" customHeight="1">
      <c r="A314" s="498"/>
      <c r="B314" s="453"/>
      <c r="C314" s="453"/>
      <c r="D314" s="453"/>
      <c r="E314" s="453"/>
      <c r="F314" s="460"/>
      <c r="G314" s="460"/>
      <c r="H314" s="453"/>
      <c r="I314" s="466"/>
      <c r="J314" s="466"/>
      <c r="K314" s="343"/>
      <c r="L314" s="343"/>
      <c r="M314" s="343"/>
      <c r="N314" s="343"/>
      <c r="O314" s="499"/>
      <c r="P314" s="499"/>
      <c r="Q314" s="499"/>
      <c r="R314" s="343"/>
      <c r="S314" s="343"/>
      <c r="T314" s="343"/>
      <c r="U314" s="343"/>
      <c r="V314" s="343"/>
      <c r="W314" s="343"/>
      <c r="X314" s="490"/>
      <c r="Y314" s="490"/>
      <c r="Z314" s="343"/>
      <c r="AA314" s="343"/>
      <c r="AB314" s="343"/>
    </row>
    <row r="315" ht="18.0" customHeight="1">
      <c r="A315" s="498"/>
      <c r="B315" s="453"/>
      <c r="C315" s="453"/>
      <c r="D315" s="453"/>
      <c r="E315" s="453"/>
      <c r="F315" s="460"/>
      <c r="G315" s="460"/>
      <c r="H315" s="453"/>
      <c r="I315" s="466"/>
      <c r="J315" s="466"/>
      <c r="K315" s="343"/>
      <c r="L315" s="343"/>
      <c r="M315" s="343"/>
      <c r="N315" s="343"/>
      <c r="O315" s="499"/>
      <c r="P315" s="499"/>
      <c r="Q315" s="499"/>
      <c r="R315" s="343"/>
      <c r="S315" s="343"/>
      <c r="T315" s="343"/>
      <c r="U315" s="343"/>
      <c r="V315" s="343"/>
      <c r="W315" s="343"/>
      <c r="X315" s="343"/>
      <c r="Y315" s="343"/>
      <c r="Z315" s="343"/>
      <c r="AA315" s="343"/>
      <c r="AB315" s="343"/>
    </row>
    <row r="316" ht="18.0" customHeight="1">
      <c r="A316" s="498"/>
      <c r="B316" s="453"/>
      <c r="C316" s="453"/>
      <c r="D316" s="453"/>
      <c r="E316" s="453"/>
      <c r="F316" s="460"/>
      <c r="G316" s="460"/>
      <c r="H316" s="453"/>
      <c r="I316" s="466"/>
      <c r="J316" s="466"/>
      <c r="K316" s="343"/>
      <c r="L316" s="343"/>
      <c r="M316" s="343"/>
      <c r="N316" s="343"/>
      <c r="O316" s="499"/>
      <c r="P316" s="499"/>
      <c r="Q316" s="499"/>
      <c r="R316" s="343"/>
      <c r="S316" s="343"/>
      <c r="T316" s="343"/>
      <c r="U316" s="343"/>
      <c r="V316" s="343"/>
      <c r="W316" s="343"/>
      <c r="X316" s="343"/>
      <c r="Y316" s="343"/>
      <c r="Z316" s="343"/>
      <c r="AA316" s="343"/>
      <c r="AB316" s="343"/>
    </row>
    <row r="317" ht="18.0" customHeight="1">
      <c r="A317" s="498"/>
      <c r="B317" s="453"/>
      <c r="C317" s="453"/>
      <c r="D317" s="453"/>
      <c r="E317" s="453"/>
      <c r="F317" s="460"/>
      <c r="G317" s="460"/>
      <c r="H317" s="453"/>
      <c r="I317" s="466"/>
      <c r="J317" s="466"/>
      <c r="K317" s="343"/>
      <c r="L317" s="343"/>
      <c r="M317" s="343"/>
      <c r="N317" s="343"/>
      <c r="O317" s="499"/>
      <c r="P317" s="499"/>
      <c r="Q317" s="499"/>
      <c r="R317" s="343"/>
      <c r="S317" s="343"/>
      <c r="T317" s="343"/>
      <c r="U317" s="343"/>
      <c r="V317" s="343"/>
      <c r="W317" s="343"/>
      <c r="X317" s="343"/>
      <c r="Y317" s="343"/>
      <c r="Z317" s="343"/>
      <c r="AA317" s="343"/>
      <c r="AB317" s="343"/>
    </row>
    <row r="318" ht="18.0" customHeight="1">
      <c r="A318" s="498"/>
      <c r="B318" s="453"/>
      <c r="C318" s="453"/>
      <c r="D318" s="453"/>
      <c r="E318" s="453"/>
      <c r="F318" s="460"/>
      <c r="G318" s="460"/>
      <c r="H318" s="453"/>
      <c r="I318" s="466"/>
      <c r="J318" s="466"/>
      <c r="K318" s="343"/>
      <c r="L318" s="343"/>
      <c r="M318" s="343"/>
      <c r="N318" s="343"/>
      <c r="O318" s="499"/>
      <c r="P318" s="499"/>
      <c r="Q318" s="499"/>
      <c r="R318" s="343"/>
      <c r="S318" s="343"/>
      <c r="T318" s="343"/>
      <c r="U318" s="343"/>
      <c r="V318" s="343"/>
      <c r="W318" s="343"/>
      <c r="X318" s="343"/>
      <c r="Y318" s="343"/>
      <c r="Z318" s="343"/>
      <c r="AA318" s="343"/>
      <c r="AB318" s="343"/>
    </row>
    <row r="319" ht="18.0" customHeight="1">
      <c r="A319" s="498"/>
      <c r="B319" s="453"/>
      <c r="C319" s="453"/>
      <c r="D319" s="453"/>
      <c r="E319" s="453"/>
      <c r="F319" s="460"/>
      <c r="G319" s="460"/>
      <c r="H319" s="453"/>
      <c r="I319" s="466"/>
      <c r="J319" s="466"/>
      <c r="K319" s="343"/>
      <c r="L319" s="343"/>
      <c r="M319" s="343"/>
      <c r="N319" s="343"/>
      <c r="O319" s="499"/>
      <c r="P319" s="499"/>
      <c r="Q319" s="499"/>
      <c r="R319" s="343"/>
      <c r="S319" s="343"/>
      <c r="T319" s="343"/>
      <c r="U319" s="343"/>
      <c r="V319" s="343"/>
      <c r="W319" s="343"/>
      <c r="X319" s="343"/>
      <c r="Y319" s="343"/>
      <c r="Z319" s="343"/>
      <c r="AA319" s="343"/>
      <c r="AB319" s="343"/>
    </row>
    <row r="320" ht="18.0" customHeight="1">
      <c r="A320" s="498"/>
      <c r="B320" s="453"/>
      <c r="C320" s="453"/>
      <c r="D320" s="453"/>
      <c r="E320" s="453"/>
      <c r="F320" s="460"/>
      <c r="G320" s="460"/>
      <c r="H320" s="453"/>
      <c r="I320" s="466"/>
      <c r="J320" s="466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500"/>
      <c r="X320" s="343"/>
      <c r="Y320" s="343"/>
      <c r="Z320" s="343"/>
      <c r="AA320" s="343"/>
      <c r="AB320" s="343"/>
    </row>
    <row r="321" ht="18.0" customHeight="1">
      <c r="A321" s="498"/>
      <c r="B321" s="343"/>
      <c r="C321" s="343"/>
      <c r="D321" s="343"/>
      <c r="E321" s="343"/>
      <c r="F321" s="497"/>
      <c r="G321" s="497"/>
      <c r="H321" s="343"/>
      <c r="I321" s="501"/>
      <c r="J321" s="501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500"/>
      <c r="X321" s="343"/>
      <c r="Y321" s="343"/>
      <c r="Z321" s="343"/>
      <c r="AA321" s="343"/>
      <c r="AB321" s="343"/>
    </row>
    <row r="322" ht="18.0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500"/>
      <c r="X322" s="343"/>
      <c r="Y322" s="343"/>
      <c r="Z322" s="343"/>
      <c r="AA322" s="343"/>
      <c r="AB322" s="343"/>
    </row>
    <row r="323" ht="18.0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500"/>
      <c r="X323" s="343"/>
      <c r="Y323" s="343"/>
      <c r="Z323" s="343"/>
      <c r="AA323" s="343"/>
      <c r="AB323" s="343"/>
    </row>
    <row r="324" ht="18.0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500"/>
      <c r="X324" s="343"/>
      <c r="Y324" s="343"/>
      <c r="Z324" s="343"/>
      <c r="AA324" s="343"/>
      <c r="AB324" s="343"/>
    </row>
    <row r="325" ht="18.0" customHeight="1">
      <c r="A325" s="139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500"/>
      <c r="X325" s="343"/>
      <c r="Y325" s="343"/>
      <c r="Z325" s="343"/>
      <c r="AA325" s="343"/>
      <c r="AB325" s="343"/>
    </row>
    <row r="326" ht="18.0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500"/>
      <c r="X326" s="343"/>
      <c r="Y326" s="343"/>
      <c r="Z326" s="343"/>
      <c r="AA326" s="343"/>
      <c r="AB326" s="343"/>
    </row>
    <row r="327" ht="18.0" customHeight="1">
      <c r="A327" s="343"/>
      <c r="B327" s="472"/>
      <c r="C327" s="496"/>
      <c r="D327" s="496"/>
      <c r="E327" s="496"/>
      <c r="F327" s="497"/>
      <c r="G327" s="497"/>
      <c r="H327" s="472"/>
      <c r="I327" s="472"/>
      <c r="J327" s="472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500"/>
      <c r="X327" s="343"/>
      <c r="Y327" s="343"/>
      <c r="Z327" s="343"/>
      <c r="AA327" s="343"/>
      <c r="AB327" s="343"/>
    </row>
    <row r="328" ht="18.0" customHeight="1">
      <c r="A328" s="498"/>
      <c r="B328" s="502"/>
      <c r="C328" s="501"/>
      <c r="D328" s="501"/>
      <c r="E328" s="501"/>
      <c r="F328" s="503"/>
      <c r="G328" s="503"/>
      <c r="H328" s="501"/>
      <c r="I328" s="501"/>
      <c r="J328" s="501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500"/>
      <c r="X328" s="343"/>
      <c r="Y328" s="343"/>
      <c r="Z328" s="343"/>
      <c r="AA328" s="343"/>
      <c r="AB328" s="343"/>
    </row>
    <row r="329" ht="18.0" customHeight="1">
      <c r="A329" s="498"/>
      <c r="B329" s="502"/>
      <c r="C329" s="501"/>
      <c r="D329" s="501"/>
      <c r="E329" s="501"/>
      <c r="F329" s="503"/>
      <c r="G329" s="503"/>
      <c r="H329" s="501"/>
      <c r="I329" s="501"/>
      <c r="J329" s="501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500"/>
      <c r="X329" s="343"/>
      <c r="Y329" s="343"/>
      <c r="Z329" s="343"/>
      <c r="AA329" s="343"/>
      <c r="AB329" s="343"/>
    </row>
    <row r="330" ht="18.0" customHeight="1">
      <c r="A330" s="498"/>
      <c r="B330" s="502"/>
      <c r="C330" s="501"/>
      <c r="D330" s="501"/>
      <c r="E330" s="501"/>
      <c r="F330" s="503"/>
      <c r="G330" s="503"/>
      <c r="H330" s="501"/>
      <c r="I330" s="501"/>
      <c r="J330" s="501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500"/>
      <c r="X330" s="343"/>
      <c r="Y330" s="343"/>
      <c r="Z330" s="343"/>
      <c r="AA330" s="343"/>
      <c r="AB330" s="343"/>
    </row>
    <row r="331" ht="18.0" customHeight="1">
      <c r="A331" s="498"/>
      <c r="B331" s="502"/>
      <c r="C331" s="501"/>
      <c r="D331" s="501"/>
      <c r="E331" s="501"/>
      <c r="F331" s="504"/>
      <c r="G331" s="504"/>
      <c r="H331" s="501"/>
      <c r="I331" s="501"/>
      <c r="J331" s="501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495"/>
      <c r="X331" s="343"/>
      <c r="Y331" s="343"/>
      <c r="Z331" s="343"/>
      <c r="AA331" s="343"/>
      <c r="AB331" s="343"/>
    </row>
    <row r="332" ht="18.0" customHeight="1">
      <c r="A332" s="498"/>
      <c r="B332" s="502"/>
      <c r="C332" s="501"/>
      <c r="D332" s="501"/>
      <c r="E332" s="501"/>
      <c r="F332" s="504"/>
      <c r="G332" s="504"/>
      <c r="H332" s="501"/>
      <c r="I332" s="501"/>
      <c r="J332" s="501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500"/>
      <c r="X332" s="343"/>
      <c r="Y332" s="343"/>
      <c r="Z332" s="343"/>
      <c r="AA332" s="343"/>
      <c r="AB332" s="343"/>
    </row>
    <row r="333" ht="18.0" customHeight="1">
      <c r="A333" s="498"/>
      <c r="B333" s="502"/>
      <c r="C333" s="505"/>
      <c r="D333" s="501"/>
      <c r="E333" s="501"/>
      <c r="F333" s="504"/>
      <c r="G333" s="504"/>
      <c r="H333" s="501"/>
      <c r="I333" s="501"/>
      <c r="J333" s="501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500"/>
      <c r="X333" s="343"/>
      <c r="Y333" s="343"/>
      <c r="Z333" s="343"/>
      <c r="AA333" s="343"/>
      <c r="AB333" s="343"/>
    </row>
    <row r="334" ht="18.0" customHeight="1">
      <c r="A334" s="343"/>
      <c r="B334" s="343"/>
      <c r="C334" s="343"/>
      <c r="D334" s="343"/>
      <c r="E334" s="343"/>
      <c r="F334" s="497"/>
      <c r="G334" s="497"/>
      <c r="H334" s="343"/>
      <c r="I334" s="501"/>
      <c r="J334" s="501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500"/>
      <c r="X334" s="343"/>
      <c r="Y334" s="343"/>
      <c r="Z334" s="343"/>
      <c r="AA334" s="343"/>
      <c r="AB334" s="343"/>
    </row>
    <row r="335" ht="18.0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500"/>
      <c r="X335" s="343"/>
      <c r="Y335" s="343"/>
      <c r="Z335" s="343"/>
      <c r="AA335" s="343"/>
      <c r="AB335" s="343"/>
    </row>
    <row r="336" ht="18.0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500"/>
      <c r="X336" s="343"/>
      <c r="Y336" s="343"/>
      <c r="Z336" s="343"/>
      <c r="AA336" s="343"/>
      <c r="AB336" s="343"/>
    </row>
    <row r="337" ht="18.0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500"/>
      <c r="X337" s="343"/>
      <c r="Y337" s="343"/>
      <c r="Z337" s="343"/>
      <c r="AA337" s="343"/>
      <c r="AB337" s="343"/>
    </row>
    <row r="338" ht="18.0" customHeight="1">
      <c r="A338" s="506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500"/>
      <c r="X338" s="343"/>
      <c r="Y338" s="343"/>
      <c r="Z338" s="343"/>
      <c r="AA338" s="343"/>
      <c r="AB338" s="343"/>
    </row>
    <row r="339" ht="18.0" customHeight="1">
      <c r="A339" s="507"/>
      <c r="B339" s="453"/>
      <c r="C339" s="453"/>
      <c r="D339" s="453"/>
      <c r="E339" s="453"/>
      <c r="F339" s="508"/>
      <c r="G339" s="508"/>
      <c r="H339" s="453"/>
      <c r="I339" s="507"/>
      <c r="J339" s="507"/>
      <c r="K339" s="507"/>
      <c r="L339" s="507"/>
      <c r="M339" s="507"/>
      <c r="N339" s="507"/>
      <c r="O339" s="507"/>
      <c r="P339" s="507"/>
      <c r="Q339" s="507"/>
      <c r="R339" s="507"/>
      <c r="S339" s="507"/>
      <c r="T339" s="507"/>
      <c r="U339" s="507"/>
      <c r="V339" s="507"/>
      <c r="W339" s="500"/>
      <c r="X339" s="507"/>
      <c r="Y339" s="507"/>
      <c r="Z339" s="507"/>
      <c r="AA339" s="507"/>
      <c r="AB339" s="507"/>
    </row>
    <row r="340" ht="18.0" customHeight="1">
      <c r="A340" s="472"/>
      <c r="B340" s="472"/>
      <c r="C340" s="472"/>
      <c r="D340" s="472"/>
      <c r="E340" s="472"/>
      <c r="F340" s="509"/>
      <c r="G340" s="509"/>
      <c r="H340" s="472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500"/>
      <c r="X340" s="343"/>
      <c r="Y340" s="343"/>
      <c r="Z340" s="343"/>
      <c r="AA340" s="343"/>
      <c r="AB340" s="343"/>
    </row>
    <row r="341" ht="18.0" customHeight="1">
      <c r="A341" s="472"/>
      <c r="B341" s="472"/>
      <c r="C341" s="510"/>
      <c r="D341" s="511"/>
      <c r="E341" s="511"/>
      <c r="F341" s="512"/>
      <c r="G341" s="512"/>
      <c r="H341" s="511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500"/>
      <c r="X341" s="343"/>
      <c r="Y341" s="343"/>
      <c r="Z341" s="343"/>
      <c r="AA341" s="343"/>
      <c r="AB341" s="343"/>
    </row>
    <row r="342" ht="18.0" customHeight="1">
      <c r="A342" s="472"/>
      <c r="B342" s="498"/>
      <c r="C342" s="513"/>
      <c r="D342" s="513"/>
      <c r="E342" s="513"/>
      <c r="F342" s="514"/>
      <c r="G342" s="514"/>
      <c r="H342" s="51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500"/>
      <c r="X342" s="343"/>
      <c r="Y342" s="343"/>
      <c r="Z342" s="343"/>
      <c r="AA342" s="343"/>
      <c r="AB342" s="343"/>
    </row>
    <row r="343" ht="18.0" customHeight="1">
      <c r="A343" s="343"/>
      <c r="B343" s="343"/>
      <c r="C343" s="343"/>
      <c r="D343" s="454" t="s">
        <v>50</v>
      </c>
      <c r="E343" s="454" t="s">
        <v>48</v>
      </c>
      <c r="F343" s="509">
        <f>+D340+E340+F340+H340</f>
        <v>0</v>
      </c>
      <c r="G343" s="497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504"/>
      <c r="X343" s="343"/>
      <c r="Y343" s="343"/>
      <c r="Z343" s="343"/>
      <c r="AA343" s="343"/>
      <c r="AB343" s="343"/>
    </row>
    <row r="344" ht="18.0" customHeight="1">
      <c r="A344" s="343"/>
      <c r="B344" s="343"/>
      <c r="C344" s="343"/>
      <c r="D344" s="505"/>
      <c r="E344" s="454" t="s">
        <v>49</v>
      </c>
      <c r="F344" s="512" t="str">
        <f>+F343/B340</f>
        <v>#DIV/0!</v>
      </c>
      <c r="G344" s="512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504"/>
      <c r="X344" s="343"/>
      <c r="Y344" s="343"/>
      <c r="Z344" s="343"/>
      <c r="AA344" s="343"/>
      <c r="AB344" s="343"/>
    </row>
    <row r="345" ht="18.0" customHeight="1">
      <c r="A345" s="507"/>
      <c r="B345" s="507"/>
      <c r="C345" s="454" t="s">
        <v>51</v>
      </c>
      <c r="D345" s="507"/>
      <c r="E345" s="507"/>
      <c r="F345" s="515"/>
      <c r="G345" s="515"/>
      <c r="H345" s="507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495"/>
      <c r="X345" s="343"/>
      <c r="Y345" s="343"/>
      <c r="Z345" s="343"/>
      <c r="AA345" s="343"/>
      <c r="AB345" s="343"/>
    </row>
    <row r="346" ht="18.0" customHeight="1">
      <c r="A346" s="507"/>
      <c r="B346" s="507"/>
      <c r="C346" s="507"/>
      <c r="D346" s="454" t="s">
        <v>52</v>
      </c>
      <c r="E346" s="507"/>
      <c r="F346" s="515">
        <f>+F345*(F343-F340)</f>
        <v>0</v>
      </c>
      <c r="G346" s="515"/>
      <c r="H346" s="507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  <c r="AA346" s="343"/>
      <c r="AB346" s="343"/>
    </row>
    <row r="347" ht="18.0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  <c r="AA347" s="343"/>
      <c r="AB347" s="343"/>
    </row>
    <row r="348" ht="18.0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  <c r="AA348" s="343"/>
      <c r="AB348" s="343"/>
    </row>
    <row r="349" ht="18.0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  <c r="AA349" s="343"/>
      <c r="AB349" s="343"/>
    </row>
    <row r="350" ht="18.0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  <c r="AA350" s="343"/>
      <c r="AB350" s="343"/>
    </row>
    <row r="351" ht="18.0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  <c r="AA351" s="343"/>
      <c r="AB351" s="343"/>
    </row>
    <row r="352" ht="18.0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  <c r="AA352" s="343"/>
      <c r="AB352" s="343"/>
    </row>
    <row r="353" ht="18.0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  <c r="AA353" s="343"/>
      <c r="AB353" s="343"/>
    </row>
    <row r="354" ht="18.0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  <c r="AA354" s="343"/>
      <c r="AB354" s="343"/>
    </row>
    <row r="355" ht="18.0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  <c r="AA355" s="343"/>
      <c r="AB355" s="343"/>
    </row>
    <row r="356" ht="18.0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  <c r="AA356" s="343"/>
      <c r="AB356" s="343"/>
    </row>
    <row r="357" ht="18.0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  <c r="AA357" s="343"/>
      <c r="AB357" s="343"/>
    </row>
    <row r="358" ht="18.0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  <c r="AA358" s="343"/>
      <c r="AB358" s="343"/>
    </row>
    <row r="359" ht="18.0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  <c r="AA359" s="343"/>
      <c r="AB359" s="343"/>
    </row>
    <row r="360" ht="18.0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  <c r="AA360" s="343"/>
      <c r="AB360" s="343"/>
    </row>
    <row r="361" ht="18.0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  <c r="AA361" s="343"/>
      <c r="AB361" s="343"/>
    </row>
    <row r="362" ht="18.0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  <c r="AA362" s="343"/>
      <c r="AB362" s="343"/>
    </row>
    <row r="363" ht="18.0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  <c r="AA363" s="343"/>
      <c r="AB363" s="343"/>
    </row>
    <row r="364" ht="18.0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  <c r="AA364" s="343"/>
      <c r="AB364" s="343"/>
    </row>
    <row r="365" ht="18.0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  <c r="AA365" s="343"/>
      <c r="AB365" s="343"/>
    </row>
    <row r="366" ht="18.0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  <c r="AA366" s="343"/>
      <c r="AB366" s="343"/>
    </row>
    <row r="367" ht="18.0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  <c r="AA367" s="343"/>
      <c r="AB367" s="343"/>
    </row>
    <row r="368" ht="18.0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  <c r="AA368" s="343"/>
      <c r="AB368" s="343"/>
    </row>
    <row r="369" ht="18.0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  <c r="AA369" s="343"/>
      <c r="AB369" s="343"/>
    </row>
    <row r="370" ht="18.0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  <c r="AA370" s="343"/>
      <c r="AB370" s="343"/>
    </row>
    <row r="371" ht="18.0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  <c r="AA371" s="343"/>
      <c r="AB371" s="343"/>
    </row>
    <row r="372" ht="18.0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  <c r="AA372" s="343"/>
      <c r="AB372" s="343"/>
    </row>
    <row r="373" ht="18.0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  <c r="AA373" s="343"/>
      <c r="AB373" s="343"/>
    </row>
    <row r="374" ht="18.0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  <c r="AA374" s="343"/>
      <c r="AB374" s="343"/>
    </row>
    <row r="375" ht="18.0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  <c r="AA375" s="343"/>
      <c r="AB375" s="343"/>
    </row>
    <row r="376" ht="18.0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  <c r="AA376" s="343"/>
      <c r="AB376" s="343"/>
    </row>
    <row r="377" ht="18.0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  <c r="AA377" s="343"/>
      <c r="AB377" s="343"/>
    </row>
    <row r="378" ht="18.0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  <c r="AA378" s="343"/>
      <c r="AB378" s="343"/>
    </row>
    <row r="379" ht="18.0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  <c r="AA379" s="343"/>
      <c r="AB379" s="343"/>
    </row>
    <row r="380" ht="18.0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  <c r="AA380" s="343"/>
      <c r="AB380" s="343"/>
    </row>
    <row r="381" ht="18.0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  <c r="AA381" s="343"/>
      <c r="AB381" s="343"/>
    </row>
    <row r="382" ht="18.0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  <c r="AA382" s="343"/>
      <c r="AB382" s="343"/>
    </row>
    <row r="383" ht="18.0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  <c r="AA383" s="343"/>
      <c r="AB383" s="343"/>
    </row>
    <row r="384" ht="18.0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  <c r="AA384" s="343"/>
      <c r="AB384" s="343"/>
    </row>
    <row r="385" ht="18.0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  <c r="AA385" s="343"/>
      <c r="AB385" s="343"/>
    </row>
    <row r="386" ht="18.0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  <c r="AA386" s="343"/>
      <c r="AB386" s="343"/>
    </row>
    <row r="387" ht="18.0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  <c r="AA387" s="343"/>
      <c r="AB387" s="343"/>
    </row>
    <row r="388" ht="18.0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  <c r="AA388" s="343"/>
      <c r="AB388" s="343"/>
    </row>
    <row r="389" ht="18.0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  <c r="AA389" s="343"/>
      <c r="AB389" s="343"/>
    </row>
    <row r="390" ht="18.0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  <c r="AA390" s="343"/>
      <c r="AB390" s="343"/>
    </row>
    <row r="391" ht="18.0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  <c r="AA391" s="343"/>
      <c r="AB391" s="343"/>
    </row>
    <row r="392" ht="18.0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  <c r="AA392" s="343"/>
      <c r="AB392" s="343"/>
    </row>
    <row r="393" ht="18.0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  <c r="AA393" s="343"/>
      <c r="AB393" s="343"/>
    </row>
    <row r="394" ht="18.0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  <c r="AA394" s="343"/>
      <c r="AB394" s="343"/>
    </row>
    <row r="395" ht="18.0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  <c r="AA395" s="343"/>
      <c r="AB395" s="343"/>
    </row>
    <row r="396" ht="18.0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  <c r="AA396" s="343"/>
      <c r="AB396" s="343"/>
    </row>
    <row r="397" ht="18.0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  <c r="AA397" s="343"/>
      <c r="AB397" s="343"/>
    </row>
    <row r="398" ht="18.0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  <c r="AA398" s="343"/>
      <c r="AB398" s="343"/>
    </row>
    <row r="399" ht="18.0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  <c r="AA399" s="343"/>
      <c r="AB399" s="343"/>
    </row>
    <row r="400" ht="18.0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  <c r="AA400" s="343"/>
      <c r="AB400" s="343"/>
    </row>
    <row r="401" ht="18.0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  <c r="AA401" s="343"/>
      <c r="AB401" s="343"/>
    </row>
    <row r="402" ht="18.0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  <c r="AA402" s="343"/>
      <c r="AB402" s="343"/>
    </row>
    <row r="403" ht="18.0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  <c r="AA403" s="343"/>
      <c r="AB403" s="343"/>
    </row>
    <row r="404" ht="18.0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  <c r="AA404" s="343"/>
      <c r="AB404" s="343"/>
    </row>
    <row r="405" ht="18.0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  <c r="AA405" s="343"/>
      <c r="AB405" s="343"/>
    </row>
    <row r="406" ht="18.0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  <c r="AA406" s="343"/>
      <c r="AB406" s="343"/>
    </row>
    <row r="407" ht="18.0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  <c r="AA407" s="343"/>
      <c r="AB407" s="343"/>
    </row>
    <row r="408" ht="18.0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  <c r="AA408" s="343"/>
      <c r="AB408" s="343"/>
    </row>
    <row r="409" ht="18.0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  <c r="AA409" s="343"/>
      <c r="AB409" s="343"/>
    </row>
    <row r="410" ht="18.0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  <c r="AA410" s="343"/>
      <c r="AB410" s="343"/>
    </row>
    <row r="411" ht="18.0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  <c r="AA411" s="343"/>
      <c r="AB411" s="343"/>
    </row>
    <row r="412" ht="18.0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  <c r="AA412" s="343"/>
      <c r="AB412" s="343"/>
    </row>
    <row r="413" ht="18.0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  <c r="AA413" s="343"/>
      <c r="AB413" s="343"/>
    </row>
    <row r="414" ht="18.0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  <c r="AA414" s="343"/>
      <c r="AB414" s="343"/>
    </row>
    <row r="415" ht="18.0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  <c r="AA415" s="343"/>
      <c r="AB415" s="343"/>
    </row>
    <row r="416" ht="18.0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  <c r="AA416" s="343"/>
      <c r="AB416" s="343"/>
    </row>
    <row r="417" ht="18.0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  <c r="AA417" s="343"/>
      <c r="AB417" s="343"/>
    </row>
    <row r="418" ht="18.0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  <c r="AA418" s="343"/>
      <c r="AB418" s="343"/>
    </row>
    <row r="419" ht="18.0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  <c r="AA419" s="343"/>
      <c r="AB419" s="343"/>
    </row>
    <row r="420" ht="18.0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  <c r="AA420" s="343"/>
      <c r="AB420" s="343"/>
    </row>
    <row r="421" ht="18.0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  <c r="AA421" s="343"/>
      <c r="AB421" s="343"/>
    </row>
    <row r="422" ht="18.0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  <c r="AA422" s="343"/>
      <c r="AB422" s="343"/>
    </row>
    <row r="423" ht="18.0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  <c r="AA423" s="343"/>
      <c r="AB423" s="343"/>
    </row>
    <row r="424" ht="18.0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  <c r="AA424" s="343"/>
      <c r="AB424" s="343"/>
    </row>
    <row r="425" ht="18.0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  <c r="AA425" s="343"/>
      <c r="AB425" s="343"/>
    </row>
    <row r="426" ht="18.0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  <c r="AA426" s="343"/>
      <c r="AB426" s="343"/>
    </row>
    <row r="427" ht="18.0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  <c r="AA427" s="343"/>
      <c r="AB427" s="343"/>
    </row>
    <row r="428" ht="18.0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  <c r="AA428" s="343"/>
      <c r="AB428" s="343"/>
    </row>
    <row r="429" ht="18.0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  <c r="AA429" s="343"/>
      <c r="AB429" s="343"/>
    </row>
    <row r="430" ht="18.0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  <c r="AA430" s="343"/>
      <c r="AB430" s="343"/>
    </row>
    <row r="431" ht="18.0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  <c r="AA431" s="343"/>
      <c r="AB431" s="343"/>
    </row>
    <row r="432" ht="18.0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  <c r="AA432" s="343"/>
      <c r="AB432" s="343"/>
    </row>
    <row r="433" ht="18.0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  <c r="AA433" s="343"/>
      <c r="AB433" s="343"/>
    </row>
    <row r="434" ht="18.0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  <c r="AA434" s="343"/>
      <c r="AB434" s="343"/>
    </row>
    <row r="435" ht="18.0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  <c r="AA435" s="343"/>
      <c r="AB435" s="343"/>
    </row>
    <row r="436" ht="18.0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  <c r="AA436" s="343"/>
      <c r="AB436" s="343"/>
    </row>
    <row r="437" ht="18.0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  <c r="AA437" s="343"/>
      <c r="AB437" s="343"/>
    </row>
    <row r="438" ht="18.0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  <c r="AA438" s="343"/>
      <c r="AB438" s="343"/>
    </row>
    <row r="439" ht="18.0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  <c r="AA439" s="343"/>
      <c r="AB439" s="343"/>
    </row>
    <row r="440" ht="18.0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  <c r="AA440" s="343"/>
      <c r="AB440" s="343"/>
    </row>
    <row r="441" ht="18.0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  <c r="AA441" s="343"/>
      <c r="AB441" s="343"/>
    </row>
    <row r="442" ht="18.0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  <c r="AA442" s="343"/>
      <c r="AB442" s="343"/>
    </row>
    <row r="443" ht="18.0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  <c r="AA443" s="343"/>
      <c r="AB443" s="343"/>
    </row>
    <row r="444" ht="18.0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  <c r="AA444" s="343"/>
      <c r="AB444" s="343"/>
    </row>
    <row r="445" ht="18.0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  <c r="AA445" s="343"/>
      <c r="AB445" s="343"/>
    </row>
    <row r="446" ht="18.0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  <c r="AA446" s="343"/>
      <c r="AB446" s="343"/>
    </row>
    <row r="447" ht="18.0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  <c r="AA447" s="343"/>
      <c r="AB447" s="343"/>
    </row>
    <row r="448" ht="18.0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  <c r="AA448" s="343"/>
      <c r="AB448" s="343"/>
    </row>
    <row r="449" ht="18.0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  <c r="AA449" s="343"/>
      <c r="AB449" s="343"/>
    </row>
    <row r="450" ht="18.0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  <c r="AA450" s="343"/>
      <c r="AB450" s="343"/>
    </row>
    <row r="451" ht="18.0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  <c r="AA451" s="343"/>
      <c r="AB451" s="343"/>
    </row>
    <row r="452" ht="18.0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  <c r="AA452" s="343"/>
      <c r="AB452" s="343"/>
    </row>
    <row r="453" ht="18.0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  <c r="AA453" s="343"/>
      <c r="AB453" s="343"/>
    </row>
    <row r="454" ht="18.0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  <c r="AA454" s="343"/>
      <c r="AB454" s="343"/>
    </row>
    <row r="455" ht="18.0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  <c r="AA455" s="343"/>
      <c r="AB455" s="343"/>
    </row>
    <row r="456" ht="18.0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  <c r="AA456" s="343"/>
      <c r="AB456" s="343"/>
    </row>
    <row r="457" ht="18.0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  <c r="AA457" s="343"/>
      <c r="AB457" s="343"/>
    </row>
    <row r="458" ht="18.0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  <c r="AA458" s="343"/>
      <c r="AB458" s="343"/>
    </row>
    <row r="459" ht="18.0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  <c r="AA459" s="343"/>
      <c r="AB459" s="343"/>
    </row>
    <row r="460" ht="18.0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  <c r="AA460" s="343"/>
      <c r="AB460" s="343"/>
    </row>
    <row r="461" ht="18.0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  <c r="AA461" s="343"/>
      <c r="AB461" s="343"/>
    </row>
    <row r="462" ht="18.0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  <c r="AA462" s="343"/>
      <c r="AB462" s="343"/>
    </row>
    <row r="463" ht="18.0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  <c r="AA463" s="343"/>
      <c r="AB463" s="343"/>
    </row>
    <row r="464" ht="18.0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  <c r="AA464" s="343"/>
      <c r="AB464" s="343"/>
    </row>
    <row r="465" ht="18.0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  <c r="AA465" s="343"/>
      <c r="AB465" s="343"/>
    </row>
    <row r="466" ht="18.0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  <c r="AA466" s="343"/>
      <c r="AB466" s="343"/>
    </row>
    <row r="467" ht="18.0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  <c r="AA467" s="343"/>
      <c r="AB467" s="343"/>
    </row>
    <row r="468" ht="18.0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  <c r="AA468" s="343"/>
      <c r="AB468" s="343"/>
    </row>
    <row r="469" ht="18.0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  <c r="AA469" s="343"/>
      <c r="AB469" s="343"/>
    </row>
    <row r="470" ht="18.0" customHeight="1">
      <c r="A470" s="343"/>
      <c r="B470" s="343"/>
      <c r="C470" s="343"/>
      <c r="D470" s="343"/>
      <c r="E470" s="343"/>
      <c r="F470" s="495"/>
      <c r="G470" s="495"/>
      <c r="H470" s="343"/>
      <c r="I470" s="343"/>
      <c r="J470" s="343"/>
      <c r="K470" s="343"/>
      <c r="L470" s="343"/>
      <c r="M470" s="343"/>
      <c r="N470" s="343"/>
      <c r="O470" s="343"/>
      <c r="P470" s="343"/>
      <c r="Q470" s="343"/>
      <c r="R470" s="343"/>
      <c r="S470" s="343"/>
      <c r="T470" s="343"/>
      <c r="U470" s="343"/>
      <c r="V470" s="343"/>
      <c r="W470" s="343"/>
      <c r="X470" s="343"/>
      <c r="Y470" s="343"/>
      <c r="Z470" s="343"/>
      <c r="AA470" s="343"/>
      <c r="AB470" s="343"/>
    </row>
    <row r="471" ht="18.0" customHeight="1">
      <c r="A471" s="343"/>
      <c r="B471" s="343"/>
      <c r="C471" s="343"/>
      <c r="D471" s="343"/>
      <c r="E471" s="343"/>
      <c r="F471" s="495"/>
      <c r="G471" s="495"/>
      <c r="H471" s="343"/>
      <c r="I471" s="343"/>
      <c r="J471" s="343"/>
      <c r="K471" s="343"/>
      <c r="L471" s="343"/>
      <c r="M471" s="343"/>
      <c r="N471" s="343"/>
      <c r="O471" s="343"/>
      <c r="P471" s="343"/>
      <c r="Q471" s="343"/>
      <c r="R471" s="343"/>
      <c r="S471" s="343"/>
      <c r="T471" s="343"/>
      <c r="U471" s="343"/>
      <c r="V471" s="343"/>
      <c r="W471" s="343"/>
      <c r="X471" s="343"/>
      <c r="Y471" s="343"/>
      <c r="Z471" s="343"/>
      <c r="AA471" s="343"/>
      <c r="AB471" s="343"/>
    </row>
    <row r="472" ht="18.0" customHeight="1">
      <c r="A472" s="343"/>
      <c r="B472" s="343"/>
      <c r="C472" s="343"/>
      <c r="D472" s="343"/>
      <c r="E472" s="343"/>
      <c r="F472" s="495"/>
      <c r="G472" s="495"/>
      <c r="H472" s="343"/>
      <c r="I472" s="343"/>
      <c r="J472" s="343"/>
      <c r="K472" s="343"/>
      <c r="L472" s="343"/>
      <c r="M472" s="343"/>
      <c r="N472" s="343"/>
      <c r="O472" s="343"/>
      <c r="P472" s="343"/>
      <c r="Q472" s="343"/>
      <c r="R472" s="343"/>
      <c r="S472" s="343"/>
      <c r="T472" s="343"/>
      <c r="U472" s="343"/>
      <c r="V472" s="343"/>
      <c r="W472" s="343"/>
      <c r="X472" s="343"/>
      <c r="Y472" s="343"/>
      <c r="Z472" s="343"/>
      <c r="AA472" s="343"/>
      <c r="AB472" s="343"/>
    </row>
    <row r="473" ht="18.0" customHeight="1">
      <c r="A473" s="343"/>
      <c r="B473" s="343"/>
      <c r="C473" s="343"/>
      <c r="D473" s="343"/>
      <c r="E473" s="343"/>
      <c r="F473" s="495"/>
      <c r="G473" s="495"/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343"/>
      <c r="X473" s="343"/>
      <c r="Y473" s="343"/>
      <c r="Z473" s="343"/>
      <c r="AA473" s="343"/>
      <c r="AB473" s="343"/>
    </row>
    <row r="474" ht="18.0" customHeight="1">
      <c r="A474" s="343"/>
      <c r="B474" s="343"/>
      <c r="C474" s="343"/>
      <c r="D474" s="343"/>
      <c r="E474" s="343"/>
      <c r="F474" s="495"/>
      <c r="G474" s="495"/>
      <c r="H474" s="343"/>
      <c r="I474" s="343"/>
      <c r="J474" s="343"/>
      <c r="K474" s="343"/>
      <c r="L474" s="343"/>
      <c r="M474" s="343"/>
      <c r="N474" s="343"/>
      <c r="O474" s="343"/>
      <c r="P474" s="343"/>
      <c r="Q474" s="343"/>
      <c r="R474" s="343"/>
      <c r="S474" s="343"/>
      <c r="T474" s="343"/>
      <c r="U474" s="343"/>
      <c r="V474" s="343"/>
      <c r="W474" s="343"/>
      <c r="X474" s="343"/>
      <c r="Y474" s="343"/>
      <c r="Z474" s="343"/>
      <c r="AA474" s="343"/>
      <c r="AB474" s="343"/>
    </row>
    <row r="475" ht="18.0" customHeight="1">
      <c r="A475" s="343"/>
      <c r="B475" s="343"/>
      <c r="C475" s="343"/>
      <c r="D475" s="343"/>
      <c r="E475" s="343"/>
      <c r="F475" s="495"/>
      <c r="G475" s="495"/>
      <c r="H475" s="343"/>
      <c r="I475" s="343"/>
      <c r="J475" s="343"/>
      <c r="K475" s="343"/>
      <c r="L475" s="343"/>
      <c r="M475" s="343"/>
      <c r="N475" s="343"/>
      <c r="O475" s="343"/>
      <c r="P475" s="343"/>
      <c r="Q475" s="343"/>
      <c r="R475" s="343"/>
      <c r="S475" s="343"/>
      <c r="T475" s="343"/>
      <c r="U475" s="343"/>
      <c r="V475" s="343"/>
      <c r="W475" s="343"/>
      <c r="X475" s="343"/>
      <c r="Y475" s="343"/>
      <c r="Z475" s="343"/>
      <c r="AA475" s="343"/>
      <c r="AB475" s="343"/>
    </row>
    <row r="476" ht="18.0" customHeight="1">
      <c r="A476" s="343"/>
      <c r="B476" s="343"/>
      <c r="C476" s="343"/>
      <c r="D476" s="343"/>
      <c r="E476" s="343"/>
      <c r="F476" s="495"/>
      <c r="G476" s="495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343"/>
      <c r="X476" s="343"/>
      <c r="Y476" s="343"/>
      <c r="Z476" s="343"/>
      <c r="AA476" s="343"/>
      <c r="AB476" s="343"/>
    </row>
    <row r="477" ht="18.0" customHeight="1">
      <c r="A477" s="343"/>
      <c r="B477" s="343"/>
      <c r="C477" s="343"/>
      <c r="D477" s="343"/>
      <c r="E477" s="343"/>
      <c r="F477" s="495"/>
      <c r="G477" s="495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343"/>
      <c r="X477" s="343"/>
      <c r="Y477" s="343"/>
      <c r="Z477" s="343"/>
      <c r="AA477" s="343"/>
      <c r="AB477" s="343"/>
    </row>
    <row r="478" ht="18.0" customHeight="1">
      <c r="A478" s="343"/>
      <c r="B478" s="343"/>
      <c r="C478" s="343"/>
      <c r="D478" s="343"/>
      <c r="E478" s="343"/>
      <c r="F478" s="495"/>
      <c r="G478" s="495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343"/>
      <c r="X478" s="343"/>
      <c r="Y478" s="343"/>
      <c r="Z478" s="343"/>
      <c r="AA478" s="343"/>
      <c r="AB478" s="343"/>
    </row>
    <row r="479" ht="18.0" customHeight="1">
      <c r="A479" s="343"/>
      <c r="B479" s="343"/>
      <c r="C479" s="343"/>
      <c r="D479" s="343"/>
      <c r="E479" s="343"/>
      <c r="F479" s="495"/>
      <c r="G479" s="495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343"/>
      <c r="X479" s="343"/>
      <c r="Y479" s="343"/>
      <c r="Z479" s="343"/>
      <c r="AA479" s="343"/>
      <c r="AB479" s="343"/>
    </row>
    <row r="480" ht="18.0" customHeight="1">
      <c r="A480" s="343"/>
      <c r="B480" s="343"/>
      <c r="C480" s="343"/>
      <c r="D480" s="343"/>
      <c r="E480" s="343"/>
      <c r="F480" s="495"/>
      <c r="G480" s="495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343"/>
      <c r="X480" s="343"/>
      <c r="Y480" s="343"/>
      <c r="Z480" s="343"/>
      <c r="AA480" s="343"/>
      <c r="AB480" s="343"/>
    </row>
    <row r="481" ht="18.0" customHeight="1">
      <c r="A481" s="343"/>
      <c r="B481" s="343"/>
      <c r="C481" s="343"/>
      <c r="D481" s="343"/>
      <c r="E481" s="343"/>
      <c r="F481" s="495"/>
      <c r="G481" s="495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343"/>
      <c r="X481" s="343"/>
      <c r="Y481" s="343"/>
      <c r="Z481" s="343"/>
      <c r="AA481" s="343"/>
      <c r="AB481" s="343"/>
    </row>
    <row r="482" ht="18.0" customHeight="1">
      <c r="A482" s="343"/>
      <c r="B482" s="343"/>
      <c r="C482" s="343"/>
      <c r="D482" s="343"/>
      <c r="E482" s="343"/>
      <c r="F482" s="495"/>
      <c r="G482" s="495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343"/>
      <c r="X482" s="343"/>
      <c r="Y482" s="343"/>
      <c r="Z482" s="343"/>
      <c r="AA482" s="343"/>
      <c r="AB482" s="343"/>
    </row>
    <row r="483" ht="18.0" customHeight="1">
      <c r="A483" s="343"/>
      <c r="B483" s="343"/>
      <c r="C483" s="343"/>
      <c r="D483" s="343"/>
      <c r="E483" s="343"/>
      <c r="F483" s="495"/>
      <c r="G483" s="495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343"/>
      <c r="X483" s="343"/>
      <c r="Y483" s="343"/>
      <c r="Z483" s="343"/>
      <c r="AA483" s="343"/>
      <c r="AB483" s="343"/>
    </row>
    <row r="484" ht="18.0" customHeight="1">
      <c r="A484" s="343"/>
      <c r="B484" s="343"/>
      <c r="C484" s="343"/>
      <c r="D484" s="343"/>
      <c r="E484" s="343"/>
      <c r="F484" s="495"/>
      <c r="G484" s="495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343"/>
      <c r="X484" s="343"/>
      <c r="Y484" s="343"/>
      <c r="Z484" s="343"/>
      <c r="AA484" s="343"/>
      <c r="AB484" s="343"/>
    </row>
    <row r="485" ht="18.0" customHeight="1">
      <c r="A485" s="343"/>
      <c r="B485" s="343"/>
      <c r="C485" s="343"/>
      <c r="D485" s="343"/>
      <c r="E485" s="343"/>
      <c r="F485" s="495"/>
      <c r="G485" s="495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343"/>
      <c r="X485" s="343"/>
      <c r="Y485" s="343"/>
      <c r="Z485" s="343"/>
      <c r="AA485" s="343"/>
      <c r="AB485" s="343"/>
    </row>
    <row r="486" ht="18.0" customHeight="1">
      <c r="A486" s="343"/>
      <c r="B486" s="343"/>
      <c r="C486" s="343"/>
      <c r="D486" s="343"/>
      <c r="E486" s="343"/>
      <c r="F486" s="495"/>
      <c r="G486" s="495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343"/>
      <c r="X486" s="343"/>
      <c r="Y486" s="343"/>
      <c r="Z486" s="343"/>
      <c r="AA486" s="343"/>
      <c r="AB486" s="343"/>
    </row>
    <row r="487" ht="18.0" customHeight="1">
      <c r="A487" s="343"/>
      <c r="B487" s="343"/>
      <c r="C487" s="343"/>
      <c r="D487" s="343"/>
      <c r="E487" s="343"/>
      <c r="F487" s="495"/>
      <c r="G487" s="495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343"/>
      <c r="X487" s="343"/>
      <c r="Y487" s="343"/>
      <c r="Z487" s="343"/>
      <c r="AA487" s="343"/>
      <c r="AB487" s="343"/>
    </row>
    <row r="488" ht="18.0" customHeight="1">
      <c r="A488" s="343"/>
      <c r="B488" s="343"/>
      <c r="C488" s="343"/>
      <c r="D488" s="343"/>
      <c r="E488" s="343"/>
      <c r="F488" s="495"/>
      <c r="G488" s="495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343"/>
      <c r="X488" s="343"/>
      <c r="Y488" s="343"/>
      <c r="Z488" s="343"/>
      <c r="AA488" s="343"/>
      <c r="AB488" s="343"/>
    </row>
    <row r="489" ht="18.0" customHeight="1">
      <c r="A489" s="343"/>
      <c r="B489" s="343"/>
      <c r="C489" s="343"/>
      <c r="D489" s="343"/>
      <c r="E489" s="343"/>
      <c r="F489" s="495"/>
      <c r="G489" s="495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343"/>
      <c r="X489" s="343"/>
      <c r="Y489" s="343"/>
      <c r="Z489" s="343"/>
      <c r="AA489" s="343"/>
      <c r="AB489" s="343"/>
    </row>
    <row r="490" ht="18.0" customHeight="1">
      <c r="A490" s="343"/>
      <c r="B490" s="343"/>
      <c r="C490" s="343"/>
      <c r="D490" s="343"/>
      <c r="E490" s="343"/>
      <c r="F490" s="495"/>
      <c r="G490" s="495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343"/>
      <c r="X490" s="343"/>
      <c r="Y490" s="343"/>
      <c r="Z490" s="343"/>
      <c r="AA490" s="343"/>
      <c r="AB490" s="343"/>
    </row>
    <row r="491" ht="18.0" customHeight="1">
      <c r="A491" s="343"/>
      <c r="B491" s="343"/>
      <c r="C491" s="343"/>
      <c r="D491" s="343"/>
      <c r="E491" s="343"/>
      <c r="F491" s="495"/>
      <c r="G491" s="495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343"/>
      <c r="X491" s="343"/>
      <c r="Y491" s="343"/>
      <c r="Z491" s="343"/>
      <c r="AA491" s="343"/>
      <c r="AB491" s="343"/>
    </row>
    <row r="492" ht="18.0" customHeight="1">
      <c r="A492" s="343"/>
      <c r="B492" s="343"/>
      <c r="C492" s="343"/>
      <c r="D492" s="343"/>
      <c r="E492" s="343"/>
      <c r="F492" s="495"/>
      <c r="G492" s="495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343"/>
      <c r="X492" s="343"/>
      <c r="Y492" s="343"/>
      <c r="Z492" s="343"/>
      <c r="AA492" s="343"/>
      <c r="AB492" s="343"/>
    </row>
    <row r="493" ht="18.0" customHeight="1">
      <c r="A493" s="343"/>
      <c r="B493" s="343"/>
      <c r="C493" s="343"/>
      <c r="D493" s="343"/>
      <c r="E493" s="343"/>
      <c r="F493" s="495"/>
      <c r="G493" s="495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343"/>
      <c r="X493" s="343"/>
      <c r="Y493" s="343"/>
      <c r="Z493" s="343"/>
      <c r="AA493" s="343"/>
      <c r="AB493" s="343"/>
    </row>
    <row r="494" ht="18.0" customHeight="1">
      <c r="A494" s="343"/>
      <c r="B494" s="343"/>
      <c r="C494" s="343"/>
      <c r="D494" s="343"/>
      <c r="E494" s="343"/>
      <c r="F494" s="495"/>
      <c r="G494" s="495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343"/>
      <c r="X494" s="343"/>
      <c r="Y494" s="343"/>
      <c r="Z494" s="343"/>
      <c r="AA494" s="343"/>
      <c r="AB494" s="343"/>
    </row>
    <row r="495" ht="18.0" customHeight="1">
      <c r="A495" s="343"/>
      <c r="B495" s="343"/>
      <c r="C495" s="343"/>
      <c r="D495" s="343"/>
      <c r="E495" s="343"/>
      <c r="F495" s="495"/>
      <c r="G495" s="495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343"/>
      <c r="X495" s="343"/>
      <c r="Y495" s="343"/>
      <c r="Z495" s="343"/>
      <c r="AA495" s="343"/>
      <c r="AB495" s="343"/>
    </row>
    <row r="496" ht="18.0" customHeight="1">
      <c r="A496" s="343"/>
      <c r="B496" s="343"/>
      <c r="C496" s="343"/>
      <c r="D496" s="343"/>
      <c r="E496" s="343"/>
      <c r="F496" s="495"/>
      <c r="G496" s="495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343"/>
      <c r="X496" s="343"/>
      <c r="Y496" s="343"/>
      <c r="Z496" s="343"/>
      <c r="AA496" s="343"/>
      <c r="AB496" s="343"/>
    </row>
    <row r="497" ht="18.0" customHeight="1">
      <c r="A497" s="343"/>
      <c r="B497" s="343"/>
      <c r="C497" s="343"/>
      <c r="D497" s="343"/>
      <c r="E497" s="343"/>
      <c r="F497" s="495"/>
      <c r="G497" s="495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343"/>
      <c r="X497" s="343"/>
      <c r="Y497" s="343"/>
      <c r="Z497" s="343"/>
      <c r="AA497" s="343"/>
      <c r="AB497" s="343"/>
    </row>
    <row r="498" ht="18.0" customHeight="1">
      <c r="A498" s="343"/>
      <c r="B498" s="343"/>
      <c r="C498" s="343"/>
      <c r="D498" s="343"/>
      <c r="E498" s="343"/>
      <c r="F498" s="495"/>
      <c r="G498" s="495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  <c r="AA498" s="343"/>
      <c r="AB498" s="343"/>
    </row>
    <row r="499" ht="18.0" customHeight="1">
      <c r="A499" s="343"/>
      <c r="B499" s="343"/>
      <c r="C499" s="343"/>
      <c r="D499" s="343"/>
      <c r="E499" s="343"/>
      <c r="F499" s="495"/>
      <c r="G499" s="495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343"/>
      <c r="X499" s="343"/>
      <c r="Y499" s="343"/>
      <c r="Z499" s="343"/>
      <c r="AA499" s="343"/>
      <c r="AB499" s="343"/>
    </row>
    <row r="500" ht="18.0" customHeight="1">
      <c r="A500" s="343"/>
      <c r="B500" s="343"/>
      <c r="C500" s="343"/>
      <c r="D500" s="343"/>
      <c r="E500" s="343"/>
      <c r="F500" s="495"/>
      <c r="G500" s="495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343"/>
      <c r="X500" s="343"/>
      <c r="Y500" s="343"/>
      <c r="Z500" s="343"/>
      <c r="AA500" s="343"/>
      <c r="AB500" s="343"/>
    </row>
    <row r="501" ht="18.0" customHeight="1">
      <c r="A501" s="343"/>
      <c r="B501" s="343"/>
      <c r="C501" s="343"/>
      <c r="D501" s="343"/>
      <c r="E501" s="343"/>
      <c r="F501" s="495"/>
      <c r="G501" s="495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343"/>
      <c r="X501" s="343"/>
      <c r="Y501" s="343"/>
      <c r="Z501" s="343"/>
      <c r="AA501" s="343"/>
      <c r="AB501" s="343"/>
    </row>
    <row r="502" ht="18.0" customHeight="1">
      <c r="A502" s="343"/>
      <c r="B502" s="343"/>
      <c r="C502" s="343"/>
      <c r="D502" s="343"/>
      <c r="E502" s="343"/>
      <c r="F502" s="495"/>
      <c r="G502" s="495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343"/>
      <c r="X502" s="343"/>
      <c r="Y502" s="343"/>
      <c r="Z502" s="343"/>
      <c r="AA502" s="343"/>
      <c r="AB502" s="343"/>
    </row>
    <row r="503" ht="18.0" customHeight="1">
      <c r="A503" s="343"/>
      <c r="B503" s="343"/>
      <c r="C503" s="343"/>
      <c r="D503" s="343"/>
      <c r="E503" s="343"/>
      <c r="F503" s="495"/>
      <c r="G503" s="495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343"/>
      <c r="X503" s="343"/>
      <c r="Y503" s="343"/>
      <c r="Z503" s="343"/>
      <c r="AA503" s="343"/>
      <c r="AB503" s="343"/>
    </row>
    <row r="504" ht="18.0" customHeight="1">
      <c r="A504" s="343"/>
      <c r="B504" s="343"/>
      <c r="C504" s="343"/>
      <c r="D504" s="343"/>
      <c r="E504" s="343"/>
      <c r="F504" s="495"/>
      <c r="G504" s="495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343"/>
      <c r="X504" s="343"/>
      <c r="Y504" s="343"/>
      <c r="Z504" s="343"/>
      <c r="AA504" s="343"/>
      <c r="AB504" s="343"/>
    </row>
    <row r="505" ht="18.0" customHeight="1">
      <c r="A505" s="343"/>
      <c r="B505" s="343"/>
      <c r="C505" s="343"/>
      <c r="D505" s="343"/>
      <c r="E505" s="343"/>
      <c r="F505" s="495"/>
      <c r="G505" s="495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343"/>
      <c r="X505" s="343"/>
      <c r="Y505" s="343"/>
      <c r="Z505" s="343"/>
      <c r="AA505" s="343"/>
      <c r="AB505" s="343"/>
    </row>
    <row r="506" ht="18.0" customHeight="1">
      <c r="A506" s="343"/>
      <c r="B506" s="343"/>
      <c r="C506" s="343"/>
      <c r="D506" s="343"/>
      <c r="E506" s="343"/>
      <c r="F506" s="495"/>
      <c r="G506" s="495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343"/>
      <c r="X506" s="343"/>
      <c r="Y506" s="343"/>
      <c r="Z506" s="343"/>
      <c r="AA506" s="343"/>
      <c r="AB506" s="343"/>
    </row>
    <row r="507" ht="18.0" customHeight="1">
      <c r="A507" s="343"/>
      <c r="B507" s="343"/>
      <c r="C507" s="343"/>
      <c r="D507" s="343"/>
      <c r="E507" s="343"/>
      <c r="F507" s="495"/>
      <c r="G507" s="495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343"/>
      <c r="X507" s="343"/>
      <c r="Y507" s="343"/>
      <c r="Z507" s="343"/>
      <c r="AA507" s="343"/>
      <c r="AB507" s="343"/>
    </row>
    <row r="508" ht="18.0" customHeight="1">
      <c r="A508" s="343"/>
      <c r="B508" s="343"/>
      <c r="C508" s="343"/>
      <c r="D508" s="343"/>
      <c r="E508" s="343"/>
      <c r="F508" s="495"/>
      <c r="G508" s="495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343"/>
      <c r="X508" s="343"/>
      <c r="Y508" s="343"/>
      <c r="Z508" s="343"/>
      <c r="AA508" s="343"/>
      <c r="AB508" s="343"/>
    </row>
    <row r="509" ht="18.0" customHeight="1">
      <c r="A509" s="343"/>
      <c r="B509" s="343"/>
      <c r="C509" s="343"/>
      <c r="D509" s="343"/>
      <c r="E509" s="343"/>
      <c r="F509" s="495"/>
      <c r="G509" s="495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343"/>
      <c r="X509" s="343"/>
      <c r="Y509" s="343"/>
      <c r="Z509" s="343"/>
      <c r="AA509" s="343"/>
      <c r="AB509" s="343"/>
    </row>
    <row r="510" ht="18.0" customHeight="1">
      <c r="A510" s="343"/>
      <c r="B510" s="343"/>
      <c r="C510" s="343"/>
      <c r="D510" s="343"/>
      <c r="E510" s="343"/>
      <c r="F510" s="495"/>
      <c r="G510" s="495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343"/>
      <c r="X510" s="343"/>
      <c r="Y510" s="343"/>
      <c r="Z510" s="343"/>
      <c r="AA510" s="343"/>
      <c r="AB510" s="343"/>
    </row>
    <row r="511" ht="18.0" customHeight="1">
      <c r="A511" s="343"/>
      <c r="B511" s="343"/>
      <c r="C511" s="343"/>
      <c r="D511" s="343"/>
      <c r="E511" s="343"/>
      <c r="F511" s="495"/>
      <c r="G511" s="495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343"/>
      <c r="X511" s="343"/>
      <c r="Y511" s="343"/>
      <c r="Z511" s="343"/>
      <c r="AA511" s="343"/>
      <c r="AB511" s="343"/>
    </row>
    <row r="512" ht="18.0" customHeight="1">
      <c r="A512" s="343"/>
      <c r="B512" s="343"/>
      <c r="C512" s="343"/>
      <c r="D512" s="343"/>
      <c r="E512" s="343"/>
      <c r="F512" s="495"/>
      <c r="G512" s="495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343"/>
      <c r="X512" s="343"/>
      <c r="Y512" s="343"/>
      <c r="Z512" s="343"/>
      <c r="AA512" s="343"/>
      <c r="AB512" s="343"/>
    </row>
    <row r="513" ht="18.0" customHeight="1">
      <c r="A513" s="343"/>
      <c r="B513" s="343"/>
      <c r="C513" s="343"/>
      <c r="D513" s="343"/>
      <c r="E513" s="343"/>
      <c r="F513" s="495"/>
      <c r="G513" s="495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343"/>
      <c r="X513" s="343"/>
      <c r="Y513" s="343"/>
      <c r="Z513" s="343"/>
      <c r="AA513" s="343"/>
      <c r="AB513" s="343"/>
    </row>
    <row r="514" ht="18.0" customHeight="1">
      <c r="A514" s="343"/>
      <c r="B514" s="343"/>
      <c r="C514" s="343"/>
      <c r="D514" s="343"/>
      <c r="E514" s="343"/>
      <c r="F514" s="495"/>
      <c r="G514" s="495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343"/>
      <c r="X514" s="343"/>
      <c r="Y514" s="343"/>
      <c r="Z514" s="343"/>
      <c r="AA514" s="343"/>
      <c r="AB514" s="343"/>
    </row>
    <row r="515" ht="18.0" customHeight="1">
      <c r="A515" s="343"/>
      <c r="B515" s="343"/>
      <c r="C515" s="343"/>
      <c r="D515" s="343"/>
      <c r="E515" s="343"/>
      <c r="F515" s="495"/>
      <c r="G515" s="495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343"/>
      <c r="X515" s="343"/>
      <c r="Y515" s="343"/>
      <c r="Z515" s="343"/>
      <c r="AA515" s="343"/>
      <c r="AB515" s="343"/>
    </row>
    <row r="516" ht="18.0" customHeight="1">
      <c r="A516" s="343"/>
      <c r="B516" s="343"/>
      <c r="C516" s="343"/>
      <c r="D516" s="343"/>
      <c r="E516" s="343"/>
      <c r="F516" s="495"/>
      <c r="G516" s="495"/>
      <c r="H516" s="343"/>
      <c r="I516" s="343"/>
      <c r="J516" s="343"/>
      <c r="K516" s="343"/>
      <c r="L516" s="343"/>
      <c r="M516" s="343"/>
      <c r="N516" s="343"/>
      <c r="O516" s="343"/>
      <c r="P516" s="343"/>
      <c r="Q516" s="343"/>
      <c r="R516" s="343"/>
      <c r="S516" s="343"/>
      <c r="T516" s="343"/>
      <c r="U516" s="343"/>
      <c r="V516" s="343"/>
      <c r="W516" s="343"/>
      <c r="X516" s="343"/>
      <c r="Y516" s="343"/>
      <c r="Z516" s="343"/>
      <c r="AA516" s="343"/>
      <c r="AB516" s="343"/>
    </row>
    <row r="517" ht="18.0" customHeight="1">
      <c r="A517" s="343"/>
      <c r="B517" s="343"/>
      <c r="C517" s="343"/>
      <c r="D517" s="343"/>
      <c r="E517" s="343"/>
      <c r="F517" s="495"/>
      <c r="G517" s="495"/>
      <c r="H517" s="343"/>
      <c r="I517" s="343"/>
      <c r="J517" s="343"/>
      <c r="K517" s="343"/>
      <c r="L517" s="343"/>
      <c r="M517" s="343"/>
      <c r="N517" s="343"/>
      <c r="O517" s="343"/>
      <c r="P517" s="343"/>
      <c r="Q517" s="343"/>
      <c r="R517" s="343"/>
      <c r="S517" s="343"/>
      <c r="T517" s="343"/>
      <c r="U517" s="343"/>
      <c r="V517" s="343"/>
      <c r="W517" s="343"/>
      <c r="X517" s="343"/>
      <c r="Y517" s="343"/>
      <c r="Z517" s="343"/>
      <c r="AA517" s="343"/>
      <c r="AB517" s="343"/>
    </row>
    <row r="518" ht="18.0" customHeight="1">
      <c r="A518" s="343"/>
      <c r="B518" s="343"/>
      <c r="C518" s="343"/>
      <c r="D518" s="343"/>
      <c r="E518" s="343"/>
      <c r="F518" s="495"/>
      <c r="G518" s="495"/>
      <c r="H518" s="343"/>
      <c r="I518" s="343"/>
      <c r="J518" s="343"/>
      <c r="K518" s="343"/>
      <c r="L518" s="343"/>
      <c r="M518" s="343"/>
      <c r="N518" s="343"/>
      <c r="O518" s="343"/>
      <c r="P518" s="343"/>
      <c r="Q518" s="343"/>
      <c r="R518" s="343"/>
      <c r="S518" s="343"/>
      <c r="T518" s="343"/>
      <c r="U518" s="343"/>
      <c r="V518" s="343"/>
      <c r="W518" s="343"/>
      <c r="X518" s="343"/>
      <c r="Y518" s="343"/>
      <c r="Z518" s="343"/>
      <c r="AA518" s="343"/>
      <c r="AB518" s="343"/>
    </row>
    <row r="519" ht="18.0" customHeight="1">
      <c r="A519" s="343"/>
      <c r="B519" s="343"/>
      <c r="C519" s="343"/>
      <c r="D519" s="343"/>
      <c r="E519" s="343"/>
      <c r="F519" s="495"/>
      <c r="G519" s="495"/>
      <c r="H519" s="343"/>
      <c r="I519" s="343"/>
      <c r="J519" s="343"/>
      <c r="K519" s="343"/>
      <c r="L519" s="343"/>
      <c r="M519" s="343"/>
      <c r="N519" s="343"/>
      <c r="O519" s="343"/>
      <c r="P519" s="343"/>
      <c r="Q519" s="343"/>
      <c r="R519" s="343"/>
      <c r="S519" s="343"/>
      <c r="T519" s="343"/>
      <c r="U519" s="343"/>
      <c r="V519" s="343"/>
      <c r="W519" s="343"/>
      <c r="X519" s="343"/>
      <c r="Y519" s="343"/>
      <c r="Z519" s="343"/>
      <c r="AA519" s="343"/>
      <c r="AB519" s="343"/>
    </row>
    <row r="520" ht="18.0" customHeight="1">
      <c r="A520" s="343"/>
      <c r="B520" s="343"/>
      <c r="C520" s="343"/>
      <c r="D520" s="343"/>
      <c r="E520" s="343"/>
      <c r="F520" s="495"/>
      <c r="G520" s="495"/>
      <c r="H520" s="343"/>
      <c r="I520" s="343"/>
      <c r="J520" s="343"/>
      <c r="K520" s="343"/>
      <c r="L520" s="343"/>
      <c r="M520" s="343"/>
      <c r="N520" s="343"/>
      <c r="O520" s="343"/>
      <c r="P520" s="343"/>
      <c r="Q520" s="343"/>
      <c r="R520" s="343"/>
      <c r="S520" s="343"/>
      <c r="T520" s="343"/>
      <c r="U520" s="343"/>
      <c r="V520" s="343"/>
      <c r="W520" s="343"/>
      <c r="X520" s="343"/>
      <c r="Y520" s="343"/>
      <c r="Z520" s="343"/>
      <c r="AA520" s="343"/>
      <c r="AB520" s="343"/>
    </row>
    <row r="521" ht="18.0" customHeight="1">
      <c r="A521" s="343"/>
      <c r="B521" s="343"/>
      <c r="C521" s="343"/>
      <c r="D521" s="343"/>
      <c r="E521" s="343"/>
      <c r="F521" s="495"/>
      <c r="G521" s="495"/>
      <c r="H521" s="343"/>
      <c r="I521" s="343"/>
      <c r="J521" s="343"/>
      <c r="K521" s="343"/>
      <c r="L521" s="343"/>
      <c r="M521" s="343"/>
      <c r="N521" s="343"/>
      <c r="O521" s="343"/>
      <c r="P521" s="343"/>
      <c r="Q521" s="343"/>
      <c r="R521" s="343"/>
      <c r="S521" s="343"/>
      <c r="T521" s="343"/>
      <c r="U521" s="343"/>
      <c r="V521" s="343"/>
      <c r="W521" s="343"/>
      <c r="X521" s="343"/>
      <c r="Y521" s="343"/>
      <c r="Z521" s="343"/>
      <c r="AA521" s="343"/>
      <c r="AB521" s="343"/>
    </row>
    <row r="522" ht="18.0" customHeight="1">
      <c r="A522" s="343"/>
      <c r="B522" s="343"/>
      <c r="C522" s="343"/>
      <c r="D522" s="343"/>
      <c r="E522" s="343"/>
      <c r="F522" s="495"/>
      <c r="G522" s="495"/>
      <c r="H522" s="343"/>
      <c r="I522" s="343"/>
      <c r="J522" s="343"/>
      <c r="K522" s="343"/>
      <c r="L522" s="343"/>
      <c r="M522" s="343"/>
      <c r="N522" s="343"/>
      <c r="O522" s="343"/>
      <c r="P522" s="343"/>
      <c r="Q522" s="343"/>
      <c r="R522" s="343"/>
      <c r="S522" s="343"/>
      <c r="T522" s="343"/>
      <c r="U522" s="343"/>
      <c r="V522" s="343"/>
      <c r="W522" s="343"/>
      <c r="X522" s="343"/>
      <c r="Y522" s="343"/>
      <c r="Z522" s="343"/>
      <c r="AA522" s="343"/>
      <c r="AB522" s="343"/>
    </row>
    <row r="523" ht="18.0" customHeight="1">
      <c r="A523" s="343"/>
      <c r="B523" s="343"/>
      <c r="C523" s="343"/>
      <c r="D523" s="343"/>
      <c r="E523" s="343"/>
      <c r="F523" s="495"/>
      <c r="G523" s="495"/>
      <c r="H523" s="343"/>
      <c r="I523" s="343"/>
      <c r="J523" s="343"/>
      <c r="K523" s="343"/>
      <c r="L523" s="343"/>
      <c r="M523" s="343"/>
      <c r="N523" s="343"/>
      <c r="O523" s="343"/>
      <c r="P523" s="343"/>
      <c r="Q523" s="343"/>
      <c r="R523" s="343"/>
      <c r="S523" s="343"/>
      <c r="T523" s="343"/>
      <c r="U523" s="343"/>
      <c r="V523" s="343"/>
      <c r="W523" s="343"/>
      <c r="X523" s="343"/>
      <c r="Y523" s="343"/>
      <c r="Z523" s="343"/>
      <c r="AA523" s="343"/>
      <c r="AB523" s="343"/>
    </row>
    <row r="524" ht="18.0" customHeight="1">
      <c r="A524" s="343"/>
      <c r="B524" s="343"/>
      <c r="C524" s="343"/>
      <c r="D524" s="343"/>
      <c r="E524" s="343"/>
      <c r="F524" s="495"/>
      <c r="G524" s="495"/>
      <c r="H524" s="343"/>
      <c r="I524" s="343"/>
      <c r="J524" s="343"/>
      <c r="K524" s="343"/>
      <c r="L524" s="343"/>
      <c r="M524" s="343"/>
      <c r="N524" s="343"/>
      <c r="O524" s="343"/>
      <c r="P524" s="343"/>
      <c r="Q524" s="343"/>
      <c r="R524" s="343"/>
      <c r="S524" s="343"/>
      <c r="T524" s="343"/>
      <c r="U524" s="343"/>
      <c r="V524" s="343"/>
      <c r="W524" s="343"/>
      <c r="X524" s="343"/>
      <c r="Y524" s="343"/>
      <c r="Z524" s="343"/>
      <c r="AA524" s="343"/>
      <c r="AB524" s="343"/>
    </row>
    <row r="525" ht="18.0" customHeight="1">
      <c r="A525" s="343"/>
      <c r="B525" s="343"/>
      <c r="C525" s="343"/>
      <c r="D525" s="343"/>
      <c r="E525" s="343"/>
      <c r="F525" s="495"/>
      <c r="G525" s="495"/>
      <c r="H525" s="343"/>
      <c r="I525" s="343"/>
      <c r="J525" s="343"/>
      <c r="K525" s="343"/>
      <c r="L525" s="343"/>
      <c r="M525" s="343"/>
      <c r="N525" s="343"/>
      <c r="O525" s="343"/>
      <c r="P525" s="343"/>
      <c r="Q525" s="343"/>
      <c r="R525" s="343"/>
      <c r="S525" s="343"/>
      <c r="T525" s="343"/>
      <c r="U525" s="343"/>
      <c r="V525" s="343"/>
      <c r="W525" s="343"/>
      <c r="X525" s="343"/>
      <c r="Y525" s="343"/>
      <c r="Z525" s="343"/>
      <c r="AA525" s="343"/>
      <c r="AB525" s="343"/>
    </row>
    <row r="526" ht="18.0" customHeight="1">
      <c r="A526" s="343"/>
      <c r="B526" s="343"/>
      <c r="C526" s="343"/>
      <c r="D526" s="343"/>
      <c r="E526" s="343"/>
      <c r="F526" s="495"/>
      <c r="G526" s="495"/>
      <c r="H526" s="343"/>
      <c r="I526" s="343"/>
      <c r="J526" s="343"/>
      <c r="K526" s="343"/>
      <c r="L526" s="343"/>
      <c r="M526" s="343"/>
      <c r="N526" s="343"/>
      <c r="O526" s="343"/>
      <c r="P526" s="343"/>
      <c r="Q526" s="343"/>
      <c r="R526" s="343"/>
      <c r="S526" s="343"/>
      <c r="T526" s="343"/>
      <c r="U526" s="343"/>
      <c r="V526" s="343"/>
      <c r="W526" s="343"/>
      <c r="X526" s="343"/>
      <c r="Y526" s="343"/>
      <c r="Z526" s="343"/>
      <c r="AA526" s="343"/>
      <c r="AB526" s="343"/>
    </row>
    <row r="527" ht="18.0" customHeight="1">
      <c r="A527" s="343"/>
      <c r="B527" s="343"/>
      <c r="C527" s="343"/>
      <c r="D527" s="343"/>
      <c r="E527" s="343"/>
      <c r="F527" s="495"/>
      <c r="G527" s="495"/>
      <c r="H527" s="343"/>
      <c r="I527" s="343"/>
      <c r="J527" s="343"/>
      <c r="K527" s="343"/>
      <c r="L527" s="343"/>
      <c r="M527" s="343"/>
      <c r="N527" s="343"/>
      <c r="O527" s="343"/>
      <c r="P527" s="343"/>
      <c r="Q527" s="343"/>
      <c r="R527" s="343"/>
      <c r="S527" s="343"/>
      <c r="T527" s="343"/>
      <c r="U527" s="343"/>
      <c r="V527" s="343"/>
      <c r="W527" s="343"/>
      <c r="X527" s="343"/>
      <c r="Y527" s="343"/>
      <c r="Z527" s="343"/>
      <c r="AA527" s="343"/>
      <c r="AB527" s="343"/>
    </row>
    <row r="528" ht="18.0" customHeight="1">
      <c r="A528" s="343"/>
      <c r="B528" s="343"/>
      <c r="C528" s="343"/>
      <c r="D528" s="343"/>
      <c r="E528" s="343"/>
      <c r="F528" s="495"/>
      <c r="G528" s="495"/>
      <c r="H528" s="343"/>
      <c r="I528" s="343"/>
      <c r="J528" s="343"/>
      <c r="K528" s="343"/>
      <c r="L528" s="343"/>
      <c r="M528" s="343"/>
      <c r="N528" s="343"/>
      <c r="O528" s="343"/>
      <c r="P528" s="343"/>
      <c r="Q528" s="343"/>
      <c r="R528" s="343"/>
      <c r="S528" s="343"/>
      <c r="T528" s="343"/>
      <c r="U528" s="343"/>
      <c r="V528" s="343"/>
      <c r="W528" s="343"/>
      <c r="X528" s="343"/>
      <c r="Y528" s="343"/>
      <c r="Z528" s="343"/>
      <c r="AA528" s="343"/>
      <c r="AB528" s="343"/>
    </row>
    <row r="529" ht="18.0" customHeight="1">
      <c r="A529" s="343"/>
      <c r="B529" s="343"/>
      <c r="C529" s="343"/>
      <c r="D529" s="343"/>
      <c r="E529" s="343"/>
      <c r="F529" s="495"/>
      <c r="G529" s="495"/>
      <c r="H529" s="343"/>
      <c r="I529" s="343"/>
      <c r="J529" s="343"/>
      <c r="K529" s="343"/>
      <c r="L529" s="343"/>
      <c r="M529" s="343"/>
      <c r="N529" s="343"/>
      <c r="O529" s="343"/>
      <c r="P529" s="343"/>
      <c r="Q529" s="343"/>
      <c r="R529" s="343"/>
      <c r="S529" s="343"/>
      <c r="T529" s="343"/>
      <c r="U529" s="343"/>
      <c r="V529" s="343"/>
      <c r="W529" s="343"/>
      <c r="X529" s="343"/>
      <c r="Y529" s="343"/>
      <c r="Z529" s="343"/>
      <c r="AA529" s="343"/>
      <c r="AB529" s="343"/>
    </row>
    <row r="530" ht="18.0" customHeight="1">
      <c r="A530" s="343"/>
      <c r="B530" s="343"/>
      <c r="C530" s="343"/>
      <c r="D530" s="343"/>
      <c r="E530" s="343"/>
      <c r="F530" s="495"/>
      <c r="G530" s="495"/>
      <c r="H530" s="343"/>
      <c r="I530" s="343"/>
      <c r="J530" s="343"/>
      <c r="K530" s="343"/>
      <c r="L530" s="343"/>
      <c r="M530" s="343"/>
      <c r="N530" s="343"/>
      <c r="O530" s="343"/>
      <c r="P530" s="343"/>
      <c r="Q530" s="343"/>
      <c r="R530" s="343"/>
      <c r="S530" s="343"/>
      <c r="T530" s="343"/>
      <c r="U530" s="343"/>
      <c r="V530" s="343"/>
      <c r="W530" s="343"/>
      <c r="X530" s="343"/>
      <c r="Y530" s="343"/>
      <c r="Z530" s="343"/>
      <c r="AA530" s="343"/>
      <c r="AB530" s="343"/>
    </row>
    <row r="531" ht="18.0" customHeight="1">
      <c r="A531" s="343"/>
      <c r="B531" s="343"/>
      <c r="C531" s="343"/>
      <c r="D531" s="343"/>
      <c r="E531" s="343"/>
      <c r="F531" s="495"/>
      <c r="G531" s="495"/>
      <c r="H531" s="343"/>
      <c r="I531" s="343"/>
      <c r="J531" s="343"/>
      <c r="K531" s="343"/>
      <c r="L531" s="343"/>
      <c r="M531" s="343"/>
      <c r="N531" s="343"/>
      <c r="O531" s="343"/>
      <c r="P531" s="343"/>
      <c r="Q531" s="343"/>
      <c r="R531" s="343"/>
      <c r="S531" s="343"/>
      <c r="T531" s="343"/>
      <c r="U531" s="343"/>
      <c r="V531" s="343"/>
      <c r="W531" s="343"/>
      <c r="X531" s="343"/>
      <c r="Y531" s="343"/>
      <c r="Z531" s="343"/>
      <c r="AA531" s="343"/>
      <c r="AB531" s="343"/>
    </row>
    <row r="532" ht="18.0" customHeight="1">
      <c r="A532" s="343"/>
      <c r="B532" s="343"/>
      <c r="C532" s="343"/>
      <c r="D532" s="343"/>
      <c r="E532" s="343"/>
      <c r="F532" s="495"/>
      <c r="G532" s="495"/>
      <c r="H532" s="343"/>
      <c r="I532" s="343"/>
      <c r="J532" s="343"/>
      <c r="K532" s="343"/>
      <c r="L532" s="343"/>
      <c r="M532" s="343"/>
      <c r="N532" s="343"/>
      <c r="O532" s="343"/>
      <c r="P532" s="343"/>
      <c r="Q532" s="343"/>
      <c r="R532" s="343"/>
      <c r="S532" s="343"/>
      <c r="T532" s="343"/>
      <c r="U532" s="343"/>
      <c r="V532" s="343"/>
      <c r="W532" s="343"/>
      <c r="X532" s="343"/>
      <c r="Y532" s="343"/>
      <c r="Z532" s="343"/>
      <c r="AA532" s="343"/>
      <c r="AB532" s="343"/>
    </row>
    <row r="533" ht="18.0" customHeight="1">
      <c r="A533" s="343"/>
      <c r="B533" s="343"/>
      <c r="C533" s="343"/>
      <c r="D533" s="343"/>
      <c r="E533" s="343"/>
      <c r="F533" s="495"/>
      <c r="G533" s="495"/>
      <c r="H533" s="343"/>
      <c r="I533" s="343"/>
      <c r="J533" s="343"/>
      <c r="K533" s="343"/>
      <c r="L533" s="343"/>
      <c r="M533" s="343"/>
      <c r="N533" s="343"/>
      <c r="O533" s="343"/>
      <c r="P533" s="343"/>
      <c r="Q533" s="343"/>
      <c r="R533" s="343"/>
      <c r="S533" s="343"/>
      <c r="T533" s="343"/>
      <c r="U533" s="343"/>
      <c r="V533" s="343"/>
      <c r="W533" s="343"/>
      <c r="X533" s="343"/>
      <c r="Y533" s="343"/>
      <c r="Z533" s="343"/>
      <c r="AA533" s="343"/>
      <c r="AB533" s="343"/>
    </row>
    <row r="534" ht="18.0" customHeight="1">
      <c r="A534" s="343"/>
      <c r="B534" s="343"/>
      <c r="C534" s="343"/>
      <c r="D534" s="343"/>
      <c r="E534" s="343"/>
      <c r="F534" s="495"/>
      <c r="G534" s="495"/>
      <c r="H534" s="343"/>
      <c r="I534" s="343"/>
      <c r="J534" s="343"/>
      <c r="K534" s="343"/>
      <c r="L534" s="343"/>
      <c r="M534" s="343"/>
      <c r="N534" s="343"/>
      <c r="O534" s="343"/>
      <c r="P534" s="343"/>
      <c r="Q534" s="343"/>
      <c r="R534" s="343"/>
      <c r="S534" s="343"/>
      <c r="T534" s="343"/>
      <c r="U534" s="343"/>
      <c r="V534" s="343"/>
      <c r="W534" s="343"/>
      <c r="X534" s="343"/>
      <c r="Y534" s="343"/>
      <c r="Z534" s="343"/>
      <c r="AA534" s="343"/>
      <c r="AB534" s="343"/>
    </row>
    <row r="535" ht="18.0" customHeight="1">
      <c r="A535" s="343"/>
      <c r="B535" s="343"/>
      <c r="C535" s="343"/>
      <c r="D535" s="343"/>
      <c r="E535" s="343"/>
      <c r="F535" s="495"/>
      <c r="G535" s="495"/>
      <c r="H535" s="343"/>
      <c r="I535" s="343"/>
      <c r="J535" s="343"/>
      <c r="K535" s="343"/>
      <c r="L535" s="343"/>
      <c r="M535" s="343"/>
      <c r="N535" s="343"/>
      <c r="O535" s="343"/>
      <c r="P535" s="343"/>
      <c r="Q535" s="343"/>
      <c r="R535" s="343"/>
      <c r="S535" s="343"/>
      <c r="T535" s="343"/>
      <c r="U535" s="343"/>
      <c r="V535" s="343"/>
      <c r="W535" s="343"/>
      <c r="X535" s="343"/>
      <c r="Y535" s="343"/>
      <c r="Z535" s="343"/>
      <c r="AA535" s="343"/>
      <c r="AB535" s="343"/>
    </row>
    <row r="536" ht="18.0" customHeight="1">
      <c r="A536" s="343"/>
      <c r="B536" s="343"/>
      <c r="C536" s="343"/>
      <c r="D536" s="343"/>
      <c r="E536" s="343"/>
      <c r="F536" s="495"/>
      <c r="G536" s="495"/>
      <c r="H536" s="343"/>
      <c r="I536" s="343"/>
      <c r="J536" s="343"/>
      <c r="K536" s="343"/>
      <c r="L536" s="343"/>
      <c r="M536" s="343"/>
      <c r="N536" s="343"/>
      <c r="O536" s="343"/>
      <c r="P536" s="343"/>
      <c r="Q536" s="343"/>
      <c r="R536" s="343"/>
      <c r="S536" s="343"/>
      <c r="T536" s="343"/>
      <c r="U536" s="343"/>
      <c r="V536" s="343"/>
      <c r="W536" s="343"/>
      <c r="X536" s="343"/>
      <c r="Y536" s="343"/>
      <c r="Z536" s="343"/>
      <c r="AA536" s="343"/>
      <c r="AB536" s="343"/>
    </row>
    <row r="537" ht="18.0" customHeight="1">
      <c r="A537" s="343"/>
      <c r="B537" s="343"/>
      <c r="C537" s="343"/>
      <c r="D537" s="343"/>
      <c r="E537" s="343"/>
      <c r="F537" s="495"/>
      <c r="G537" s="495"/>
      <c r="H537" s="343"/>
      <c r="I537" s="343"/>
      <c r="J537" s="343"/>
      <c r="K537" s="343"/>
      <c r="L537" s="343"/>
      <c r="M537" s="343"/>
      <c r="N537" s="343"/>
      <c r="O537" s="343"/>
      <c r="P537" s="343"/>
      <c r="Q537" s="343"/>
      <c r="R537" s="343"/>
      <c r="S537" s="343"/>
      <c r="T537" s="343"/>
      <c r="U537" s="343"/>
      <c r="V537" s="343"/>
      <c r="W537" s="343"/>
      <c r="X537" s="343"/>
      <c r="Y537" s="343"/>
      <c r="Z537" s="343"/>
      <c r="AA537" s="343"/>
      <c r="AB537" s="343"/>
    </row>
    <row r="538" ht="18.0" customHeight="1">
      <c r="A538" s="343"/>
      <c r="B538" s="343"/>
      <c r="C538" s="343"/>
      <c r="D538" s="343"/>
      <c r="E538" s="343"/>
      <c r="F538" s="495"/>
      <c r="G538" s="495"/>
      <c r="H538" s="343"/>
      <c r="I538" s="343"/>
      <c r="J538" s="343"/>
      <c r="K538" s="343"/>
      <c r="L538" s="343"/>
      <c r="M538" s="343"/>
      <c r="N538" s="343"/>
      <c r="O538" s="343"/>
      <c r="P538" s="343"/>
      <c r="Q538" s="343"/>
      <c r="R538" s="343"/>
      <c r="S538" s="343"/>
      <c r="T538" s="343"/>
      <c r="U538" s="343"/>
      <c r="V538" s="343"/>
      <c r="W538" s="343"/>
      <c r="X538" s="343"/>
      <c r="Y538" s="343"/>
      <c r="Z538" s="343"/>
      <c r="AA538" s="343"/>
      <c r="AB538" s="343"/>
    </row>
    <row r="539" ht="18.0" customHeight="1">
      <c r="A539" s="343"/>
      <c r="B539" s="343"/>
      <c r="C539" s="343"/>
      <c r="D539" s="343"/>
      <c r="E539" s="343"/>
      <c r="F539" s="495"/>
      <c r="G539" s="495"/>
      <c r="H539" s="343"/>
      <c r="I539" s="343"/>
      <c r="J539" s="343"/>
      <c r="K539" s="343"/>
      <c r="L539" s="343"/>
      <c r="M539" s="343"/>
      <c r="N539" s="343"/>
      <c r="O539" s="343"/>
      <c r="P539" s="343"/>
      <c r="Q539" s="343"/>
      <c r="R539" s="343"/>
      <c r="S539" s="343"/>
      <c r="T539" s="343"/>
      <c r="U539" s="343"/>
      <c r="V539" s="343"/>
      <c r="W539" s="343"/>
      <c r="X539" s="343"/>
      <c r="Y539" s="343"/>
      <c r="Z539" s="343"/>
      <c r="AA539" s="343"/>
      <c r="AB539" s="343"/>
    </row>
    <row r="540" ht="18.0" customHeight="1">
      <c r="A540" s="343"/>
      <c r="B540" s="343"/>
      <c r="C540" s="343"/>
      <c r="D540" s="343"/>
      <c r="E540" s="343"/>
      <c r="F540" s="495"/>
      <c r="G540" s="495"/>
      <c r="H540" s="343"/>
      <c r="I540" s="343"/>
      <c r="J540" s="343"/>
      <c r="K540" s="343"/>
      <c r="L540" s="343"/>
      <c r="M540" s="343"/>
      <c r="N540" s="343"/>
      <c r="O540" s="343"/>
      <c r="P540" s="343"/>
      <c r="Q540" s="343"/>
      <c r="R540" s="343"/>
      <c r="S540" s="343"/>
      <c r="T540" s="343"/>
      <c r="U540" s="343"/>
      <c r="V540" s="343"/>
      <c r="W540" s="343"/>
      <c r="X540" s="343"/>
      <c r="Y540" s="343"/>
      <c r="Z540" s="343"/>
      <c r="AA540" s="343"/>
      <c r="AB540" s="343"/>
    </row>
    <row r="541" ht="18.0" customHeight="1">
      <c r="A541" s="343"/>
      <c r="B541" s="343"/>
      <c r="C541" s="343"/>
      <c r="D541" s="343"/>
      <c r="E541" s="343"/>
      <c r="F541" s="495"/>
      <c r="G541" s="495"/>
      <c r="H541" s="343"/>
      <c r="I541" s="343"/>
      <c r="J541" s="343"/>
      <c r="K541" s="343"/>
      <c r="L541" s="343"/>
      <c r="M541" s="343"/>
      <c r="N541" s="343"/>
      <c r="O541" s="343"/>
      <c r="P541" s="343"/>
      <c r="Q541" s="343"/>
      <c r="R541" s="343"/>
      <c r="S541" s="343"/>
      <c r="T541" s="343"/>
      <c r="U541" s="343"/>
      <c r="V541" s="343"/>
      <c r="W541" s="343"/>
      <c r="X541" s="343"/>
      <c r="Y541" s="343"/>
      <c r="Z541" s="343"/>
      <c r="AA541" s="343"/>
      <c r="AB541" s="343"/>
    </row>
    <row r="542" ht="18.0" customHeight="1">
      <c r="A542" s="343"/>
      <c r="B542" s="343"/>
      <c r="C542" s="343"/>
      <c r="D542" s="343"/>
      <c r="E542" s="343"/>
      <c r="F542" s="495"/>
      <c r="G542" s="495"/>
      <c r="H542" s="343"/>
      <c r="I542" s="343"/>
      <c r="J542" s="343"/>
      <c r="K542" s="343"/>
      <c r="L542" s="343"/>
      <c r="M542" s="343"/>
      <c r="N542" s="343"/>
      <c r="O542" s="343"/>
      <c r="P542" s="343"/>
      <c r="Q542" s="343"/>
      <c r="R542" s="343"/>
      <c r="S542" s="343"/>
      <c r="T542" s="343"/>
      <c r="U542" s="343"/>
      <c r="V542" s="343"/>
      <c r="W542" s="343"/>
      <c r="X542" s="343"/>
      <c r="Y542" s="343"/>
      <c r="Z542" s="343"/>
      <c r="AA542" s="343"/>
      <c r="AB542" s="343"/>
    </row>
    <row r="543" ht="18.0" customHeight="1">
      <c r="A543" s="343"/>
      <c r="B543" s="343"/>
      <c r="C543" s="343"/>
      <c r="D543" s="343"/>
      <c r="E543" s="343"/>
      <c r="F543" s="495"/>
      <c r="G543" s="495"/>
      <c r="H543" s="343"/>
      <c r="I543" s="343"/>
      <c r="J543" s="343"/>
      <c r="K543" s="343"/>
      <c r="L543" s="343"/>
      <c r="M543" s="343"/>
      <c r="N543" s="343"/>
      <c r="O543" s="343"/>
      <c r="P543" s="343"/>
      <c r="Q543" s="343"/>
      <c r="R543" s="343"/>
      <c r="S543" s="343"/>
      <c r="T543" s="343"/>
      <c r="U543" s="343"/>
      <c r="V543" s="343"/>
      <c r="W543" s="343"/>
      <c r="X543" s="343"/>
      <c r="Y543" s="343"/>
      <c r="Z543" s="343"/>
      <c r="AA543" s="343"/>
      <c r="AB543" s="343"/>
    </row>
    <row r="544" ht="18.0" customHeight="1">
      <c r="A544" s="343"/>
      <c r="B544" s="343"/>
      <c r="C544" s="343"/>
      <c r="D544" s="343"/>
      <c r="E544" s="343"/>
      <c r="F544" s="495"/>
      <c r="G544" s="495"/>
      <c r="H544" s="343"/>
      <c r="I544" s="343"/>
      <c r="J544" s="343"/>
      <c r="K544" s="343"/>
      <c r="L544" s="343"/>
      <c r="M544" s="343"/>
      <c r="N544" s="343"/>
      <c r="O544" s="343"/>
      <c r="P544" s="343"/>
      <c r="Q544" s="343"/>
      <c r="R544" s="343"/>
      <c r="S544" s="343"/>
      <c r="T544" s="343"/>
      <c r="U544" s="343"/>
      <c r="V544" s="343"/>
      <c r="W544" s="343"/>
      <c r="X544" s="343"/>
      <c r="Y544" s="343"/>
      <c r="Z544" s="343"/>
      <c r="AA544" s="343"/>
      <c r="AB544" s="343"/>
    </row>
    <row r="545" ht="18.0" customHeight="1">
      <c r="A545" s="343"/>
      <c r="B545" s="343"/>
      <c r="C545" s="343"/>
      <c r="D545" s="343"/>
      <c r="E545" s="343"/>
      <c r="F545" s="495"/>
      <c r="G545" s="495"/>
      <c r="H545" s="343"/>
      <c r="I545" s="343"/>
      <c r="J545" s="343"/>
      <c r="K545" s="343"/>
      <c r="L545" s="343"/>
      <c r="M545" s="343"/>
      <c r="N545" s="343"/>
      <c r="O545" s="343"/>
      <c r="P545" s="343"/>
      <c r="Q545" s="343"/>
      <c r="R545" s="343"/>
      <c r="S545" s="343"/>
      <c r="T545" s="343"/>
      <c r="U545" s="343"/>
      <c r="V545" s="343"/>
      <c r="W545" s="343"/>
      <c r="X545" s="343"/>
      <c r="Y545" s="343"/>
      <c r="Z545" s="343"/>
      <c r="AA545" s="343"/>
      <c r="AB545" s="343"/>
    </row>
    <row r="546" ht="18.0" customHeight="1">
      <c r="A546" s="343"/>
      <c r="B546" s="343"/>
      <c r="C546" s="343"/>
      <c r="D546" s="343"/>
      <c r="E546" s="343"/>
      <c r="F546" s="495"/>
      <c r="G546" s="495"/>
      <c r="H546" s="343"/>
      <c r="I546" s="343"/>
      <c r="J546" s="343"/>
      <c r="K546" s="343"/>
      <c r="L546" s="343"/>
      <c r="M546" s="343"/>
      <c r="N546" s="343"/>
      <c r="O546" s="343"/>
      <c r="P546" s="343"/>
      <c r="Q546" s="343"/>
      <c r="R546" s="343"/>
      <c r="S546" s="343"/>
      <c r="T546" s="343"/>
      <c r="U546" s="343"/>
      <c r="V546" s="343"/>
      <c r="W546" s="343"/>
      <c r="X546" s="343"/>
      <c r="Y546" s="343"/>
      <c r="Z546" s="343"/>
      <c r="AA546" s="343"/>
      <c r="AB546" s="343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52"/>
      <c r="B1" s="459"/>
      <c r="C1" s="455"/>
      <c r="D1" s="455"/>
      <c r="E1" s="455"/>
      <c r="F1" s="455"/>
      <c r="G1" s="455"/>
      <c r="H1" s="455"/>
      <c r="I1" s="461"/>
      <c r="J1" s="461"/>
      <c r="K1" s="464"/>
      <c r="L1" s="461"/>
      <c r="M1" s="461"/>
      <c r="N1" s="455"/>
      <c r="O1" s="452"/>
      <c r="P1" s="452"/>
      <c r="Q1" s="452"/>
      <c r="R1" s="455"/>
      <c r="S1" s="455"/>
      <c r="T1" s="455"/>
      <c r="U1" s="455"/>
      <c r="V1" s="458"/>
      <c r="W1" s="527"/>
      <c r="X1" s="452"/>
    </row>
    <row r="2" ht="18.75" customHeight="1">
      <c r="A2" s="452"/>
      <c r="B2" s="459"/>
      <c r="C2" s="455"/>
      <c r="D2" s="455"/>
      <c r="E2" s="455"/>
      <c r="F2" s="453"/>
      <c r="G2" s="455"/>
      <c r="H2" s="453"/>
      <c r="I2" s="454"/>
      <c r="J2" s="454"/>
      <c r="K2" s="456"/>
      <c r="L2" s="457"/>
      <c r="M2" s="457"/>
      <c r="N2" s="455"/>
      <c r="O2" s="452"/>
      <c r="P2" s="452"/>
      <c r="Q2" s="452"/>
      <c r="R2" s="455"/>
      <c r="S2" s="455"/>
      <c r="T2" s="455"/>
      <c r="U2" s="455"/>
      <c r="V2" s="458"/>
      <c r="W2" s="527"/>
      <c r="X2" s="452"/>
    </row>
    <row r="3" ht="18.75" customHeight="1">
      <c r="A3" s="452"/>
      <c r="B3" s="459"/>
      <c r="C3" s="462"/>
      <c r="D3" s="455"/>
      <c r="E3" s="463"/>
      <c r="F3" s="453"/>
      <c r="G3" s="455"/>
      <c r="H3" s="453"/>
      <c r="I3" s="454"/>
      <c r="J3" s="454"/>
      <c r="K3" s="464"/>
      <c r="L3" s="464"/>
      <c r="M3" s="464"/>
      <c r="N3" s="455"/>
      <c r="O3" s="452"/>
      <c r="P3" s="452"/>
      <c r="Q3" s="452"/>
      <c r="R3" s="455"/>
      <c r="S3" s="455"/>
      <c r="T3" s="455"/>
      <c r="U3" s="455"/>
      <c r="V3" s="458"/>
      <c r="W3" s="527"/>
      <c r="X3" s="452"/>
    </row>
    <row r="4" ht="18.75" customHeight="1">
      <c r="A4" s="452"/>
      <c r="B4" s="459"/>
      <c r="C4" s="455"/>
      <c r="D4" s="455"/>
      <c r="E4" s="455"/>
      <c r="F4" s="455"/>
      <c r="G4" s="455"/>
      <c r="H4" s="467"/>
      <c r="I4" s="484"/>
      <c r="J4" s="484"/>
      <c r="K4" s="465"/>
      <c r="L4" s="455"/>
      <c r="M4" s="455"/>
      <c r="N4" s="455"/>
      <c r="O4" s="452"/>
      <c r="P4" s="452"/>
      <c r="Q4" s="452"/>
      <c r="R4" s="455"/>
      <c r="S4" s="455"/>
      <c r="T4" s="455"/>
      <c r="U4" s="455"/>
      <c r="V4" s="458"/>
      <c r="W4" s="527"/>
      <c r="X4" s="452"/>
    </row>
    <row r="5" ht="18.75" customHeight="1">
      <c r="A5" s="452"/>
      <c r="B5" s="459"/>
      <c r="C5" s="455"/>
      <c r="D5" s="455"/>
      <c r="E5" s="455"/>
      <c r="F5" s="455"/>
      <c r="G5" s="455"/>
      <c r="H5" s="467"/>
      <c r="I5" s="484"/>
      <c r="J5" s="484"/>
      <c r="K5" s="465"/>
      <c r="L5" s="455"/>
      <c r="M5" s="455"/>
      <c r="N5" s="455"/>
      <c r="O5" s="452"/>
      <c r="P5" s="452"/>
      <c r="Q5" s="452"/>
      <c r="R5" s="455"/>
      <c r="S5" s="455"/>
      <c r="T5" s="455"/>
      <c r="U5" s="455"/>
      <c r="V5" s="458"/>
      <c r="W5" s="527"/>
      <c r="X5" s="452"/>
    </row>
    <row r="6" ht="18.75" customHeight="1">
      <c r="A6" s="452"/>
      <c r="B6" s="453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527"/>
      <c r="X6" s="452"/>
    </row>
    <row r="7" ht="18.75" customHeight="1">
      <c r="A7" s="452"/>
      <c r="B7" s="453" t="s">
        <v>149</v>
      </c>
      <c r="C7" s="455" t="s">
        <v>150</v>
      </c>
      <c r="D7" s="455" t="s">
        <v>151</v>
      </c>
      <c r="E7" s="455"/>
      <c r="F7" s="455"/>
      <c r="G7" s="455"/>
      <c r="H7" s="467"/>
      <c r="I7" s="466"/>
      <c r="J7" s="466"/>
      <c r="K7" s="467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3"/>
      <c r="W7" s="527"/>
      <c r="X7" s="455"/>
    </row>
    <row r="8" ht="18.75" customHeight="1">
      <c r="A8" s="452"/>
      <c r="B8" s="453">
        <v>1.0</v>
      </c>
      <c r="C8" s="467"/>
      <c r="D8" s="528"/>
      <c r="E8" s="455"/>
      <c r="F8" s="455"/>
      <c r="G8" s="455"/>
      <c r="H8" s="467"/>
      <c r="I8" s="470"/>
      <c r="J8" s="470"/>
      <c r="K8" s="465"/>
      <c r="L8" s="455"/>
      <c r="M8" s="455"/>
      <c r="N8" s="455"/>
      <c r="O8" s="452"/>
      <c r="P8" s="452"/>
      <c r="Q8" s="498"/>
      <c r="R8" s="507"/>
      <c r="S8" s="507"/>
      <c r="T8" s="455"/>
      <c r="U8" s="455"/>
      <c r="V8" s="453"/>
      <c r="W8" s="529"/>
      <c r="X8" s="460"/>
    </row>
    <row r="9" ht="18.75" customHeight="1">
      <c r="A9" s="452"/>
      <c r="B9" s="453">
        <v>2.0</v>
      </c>
      <c r="C9" s="453"/>
      <c r="D9" s="517"/>
      <c r="E9" s="453"/>
      <c r="F9" s="460"/>
      <c r="G9" s="460"/>
      <c r="H9" s="453"/>
      <c r="I9" s="466"/>
      <c r="J9" s="466"/>
      <c r="K9" s="455"/>
      <c r="L9" s="455"/>
      <c r="M9" s="455"/>
      <c r="N9" s="455"/>
      <c r="O9" s="452"/>
      <c r="P9" s="452"/>
      <c r="Q9" s="498"/>
      <c r="R9" s="507"/>
      <c r="S9" s="507"/>
      <c r="T9" s="455"/>
      <c r="U9" s="455"/>
      <c r="V9" s="453"/>
      <c r="W9" s="530"/>
      <c r="X9" s="452"/>
    </row>
    <row r="10" ht="18.75" customHeight="1">
      <c r="A10" s="452"/>
      <c r="B10" s="453">
        <v>3.0</v>
      </c>
      <c r="C10" s="467"/>
      <c r="D10" s="484"/>
      <c r="E10" s="453"/>
      <c r="F10" s="460"/>
      <c r="G10" s="460"/>
      <c r="H10" s="453"/>
      <c r="I10" s="466"/>
      <c r="J10" s="466"/>
      <c r="K10" s="455"/>
      <c r="L10" s="455"/>
      <c r="M10" s="455"/>
      <c r="N10" s="455"/>
      <c r="O10" s="452"/>
      <c r="P10" s="452"/>
      <c r="Q10" s="498"/>
      <c r="R10" s="507"/>
      <c r="S10" s="507"/>
      <c r="T10" s="455"/>
      <c r="U10" s="455"/>
      <c r="V10" s="453"/>
      <c r="W10" s="529"/>
      <c r="X10" s="452"/>
    </row>
    <row r="11" ht="18.75" customHeight="1">
      <c r="A11" s="452"/>
      <c r="B11" s="453">
        <v>4.0</v>
      </c>
      <c r="C11" s="467"/>
      <c r="D11" s="528"/>
      <c r="E11" s="453"/>
      <c r="F11" s="460"/>
      <c r="G11" s="460"/>
      <c r="H11" s="453"/>
      <c r="I11" s="466"/>
      <c r="J11" s="466"/>
      <c r="K11" s="455"/>
      <c r="L11" s="455"/>
      <c r="M11" s="455"/>
      <c r="N11" s="455"/>
      <c r="O11" s="452"/>
      <c r="P11" s="452"/>
      <c r="Q11" s="498"/>
      <c r="R11" s="507"/>
      <c r="S11" s="507"/>
      <c r="T11" s="455"/>
      <c r="U11" s="455"/>
      <c r="V11" s="453"/>
      <c r="W11" s="529"/>
      <c r="X11" s="460"/>
    </row>
    <row r="12" ht="18.75" customHeight="1">
      <c r="A12" s="452"/>
      <c r="B12" s="453">
        <v>5.0</v>
      </c>
      <c r="C12" s="485"/>
      <c r="D12" s="531"/>
      <c r="E12" s="453"/>
      <c r="F12" s="460"/>
      <c r="G12" s="460"/>
      <c r="H12" s="453"/>
      <c r="I12" s="466"/>
      <c r="J12" s="466"/>
      <c r="K12" s="455"/>
      <c r="L12" s="455"/>
      <c r="M12" s="455"/>
      <c r="N12" s="455"/>
      <c r="O12" s="452"/>
      <c r="P12" s="452"/>
      <c r="Q12" s="498"/>
      <c r="R12" s="507"/>
      <c r="S12" s="507"/>
      <c r="T12" s="455"/>
      <c r="U12" s="455"/>
      <c r="V12" s="453"/>
      <c r="W12" s="530"/>
      <c r="X12" s="454"/>
    </row>
    <row r="13" ht="18.75" customHeight="1">
      <c r="A13" s="452"/>
      <c r="B13" s="453">
        <v>6.0</v>
      </c>
      <c r="C13" s="467"/>
      <c r="D13" s="528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98"/>
      <c r="R13" s="507"/>
      <c r="S13" s="507"/>
      <c r="T13" s="455"/>
      <c r="U13" s="455"/>
      <c r="V13" s="453"/>
      <c r="W13" s="530"/>
      <c r="X13" s="460"/>
    </row>
    <row r="14" ht="18.75" customHeight="1">
      <c r="A14" s="452"/>
      <c r="B14" s="453">
        <v>7.0</v>
      </c>
      <c r="C14" s="467"/>
      <c r="D14" s="528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98"/>
      <c r="R14" s="507"/>
      <c r="S14" s="507"/>
      <c r="T14" s="455"/>
      <c r="U14" s="455"/>
      <c r="V14" s="453"/>
      <c r="W14" s="532"/>
      <c r="X14" s="473"/>
    </row>
    <row r="15" ht="18.75" customHeight="1">
      <c r="A15" s="452"/>
      <c r="B15" s="453">
        <v>8.0</v>
      </c>
      <c r="C15" s="467"/>
      <c r="D15" s="528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98"/>
      <c r="R15" s="507"/>
      <c r="S15" s="507"/>
      <c r="T15" s="455"/>
      <c r="U15" s="455"/>
      <c r="V15" s="453"/>
      <c r="W15" s="530"/>
      <c r="X15" s="473"/>
    </row>
    <row r="16" ht="18.75" customHeight="1">
      <c r="A16" s="452"/>
      <c r="B16" s="453">
        <v>9.0</v>
      </c>
      <c r="C16" s="467"/>
      <c r="D16" s="484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98"/>
      <c r="R16" s="507"/>
      <c r="S16" s="507"/>
      <c r="T16" s="455"/>
      <c r="U16" s="455"/>
      <c r="V16" s="453"/>
      <c r="W16" s="529"/>
      <c r="X16" s="460"/>
    </row>
    <row r="17" ht="18.75" customHeight="1">
      <c r="A17" s="452"/>
      <c r="B17" s="453">
        <v>10.0</v>
      </c>
      <c r="C17" s="485"/>
      <c r="D17" s="531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98"/>
      <c r="R17" s="507"/>
      <c r="S17" s="507"/>
      <c r="T17" s="455"/>
      <c r="U17" s="455"/>
      <c r="V17" s="453"/>
      <c r="W17" s="530"/>
      <c r="X17" s="460"/>
    </row>
    <row r="18" ht="18.75" customHeight="1">
      <c r="A18" s="452"/>
      <c r="B18" s="453">
        <v>11.0</v>
      </c>
      <c r="C18" s="485"/>
      <c r="D18" s="52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98"/>
      <c r="R18" s="507"/>
      <c r="S18" s="507"/>
      <c r="T18" s="455"/>
      <c r="U18" s="455"/>
      <c r="V18" s="453"/>
      <c r="W18" s="530"/>
      <c r="X18" s="460"/>
    </row>
    <row r="19" ht="18.75" customHeight="1">
      <c r="A19" s="452"/>
      <c r="B19" s="453">
        <v>12.0</v>
      </c>
      <c r="C19" s="485"/>
      <c r="D19" s="531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98"/>
      <c r="R19" s="507"/>
      <c r="S19" s="507"/>
      <c r="T19" s="455"/>
      <c r="U19" s="455"/>
      <c r="V19" s="453"/>
      <c r="W19" s="530"/>
      <c r="X19" s="473"/>
    </row>
    <row r="20" ht="18.75" customHeight="1">
      <c r="A20" s="452"/>
      <c r="B20" s="453">
        <v>13.0</v>
      </c>
      <c r="C20" s="467"/>
      <c r="D20" s="528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98"/>
      <c r="R20" s="507"/>
      <c r="S20" s="507"/>
      <c r="T20" s="455"/>
      <c r="U20" s="455"/>
      <c r="V20" s="453"/>
      <c r="W20" s="533"/>
      <c r="X20" s="460"/>
    </row>
    <row r="21" ht="18.75" customHeight="1">
      <c r="A21" s="452"/>
      <c r="B21" s="453">
        <v>14.0</v>
      </c>
      <c r="C21" s="467"/>
      <c r="D21" s="528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98"/>
      <c r="R21" s="507"/>
      <c r="S21" s="507"/>
      <c r="T21" s="455"/>
      <c r="U21" s="455"/>
      <c r="V21" s="453"/>
      <c r="W21" s="533"/>
      <c r="X21" s="460"/>
    </row>
    <row r="22" ht="18.75" customHeight="1">
      <c r="A22" s="452"/>
      <c r="B22" s="453">
        <v>15.0</v>
      </c>
      <c r="C22" s="467"/>
      <c r="D22" s="528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98"/>
      <c r="R22" s="507"/>
      <c r="S22" s="507"/>
      <c r="T22" s="455"/>
      <c r="U22" s="455"/>
      <c r="V22" s="453"/>
      <c r="W22" s="529"/>
      <c r="X22" s="452"/>
    </row>
    <row r="23" ht="18.75" customHeight="1">
      <c r="A23" s="452"/>
      <c r="B23" s="453">
        <v>16.0</v>
      </c>
      <c r="C23" s="485"/>
      <c r="D23" s="531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98"/>
      <c r="R23" s="507"/>
      <c r="S23" s="507"/>
      <c r="T23" s="455"/>
      <c r="U23" s="455"/>
      <c r="V23" s="453"/>
      <c r="W23" s="529"/>
      <c r="X23" s="460"/>
    </row>
    <row r="24" ht="18.75" customHeight="1">
      <c r="A24" s="452"/>
      <c r="B24" s="453">
        <v>17.0</v>
      </c>
      <c r="C24" s="467"/>
      <c r="D24" s="528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98"/>
      <c r="R24" s="507"/>
      <c r="S24" s="507"/>
      <c r="T24" s="455"/>
      <c r="U24" s="455"/>
      <c r="V24" s="453"/>
      <c r="W24" s="530"/>
      <c r="X24" s="460"/>
    </row>
    <row r="25" ht="18.75" customHeight="1">
      <c r="A25" s="452"/>
      <c r="B25" s="453">
        <v>18.0</v>
      </c>
      <c r="C25" s="467"/>
      <c r="D25" s="528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98"/>
      <c r="R25" s="507"/>
      <c r="S25" s="507"/>
      <c r="T25" s="455"/>
      <c r="U25" s="455"/>
      <c r="V25" s="453"/>
      <c r="W25" s="534"/>
      <c r="X25" s="473"/>
    </row>
    <row r="26" ht="18.75" customHeight="1">
      <c r="A26" s="452"/>
      <c r="B26" s="453">
        <v>19.0</v>
      </c>
      <c r="C26" s="467"/>
      <c r="D26" s="528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98"/>
      <c r="R26" s="507"/>
      <c r="S26" s="507"/>
      <c r="T26" s="455"/>
      <c r="U26" s="455"/>
      <c r="V26" s="453"/>
      <c r="W26" s="535"/>
      <c r="X26" s="452"/>
    </row>
    <row r="27" ht="18.75" customHeight="1">
      <c r="A27" s="452"/>
      <c r="B27" s="453">
        <v>20.0</v>
      </c>
      <c r="C27" s="467"/>
      <c r="D27" s="528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98"/>
      <c r="R27" s="507"/>
      <c r="S27" s="507"/>
      <c r="T27" s="455"/>
      <c r="U27" s="455"/>
      <c r="V27" s="453"/>
      <c r="W27" s="529"/>
      <c r="X27" s="460"/>
    </row>
    <row r="28" ht="18.75" customHeight="1">
      <c r="A28" s="452"/>
      <c r="B28" s="453">
        <v>21.0</v>
      </c>
      <c r="C28" s="467"/>
      <c r="D28" s="528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8"/>
      <c r="W28" s="527"/>
      <c r="X28" s="452"/>
    </row>
    <row r="29" ht="18.75" customHeight="1">
      <c r="A29" s="452"/>
      <c r="B29" s="453">
        <v>22.0</v>
      </c>
      <c r="C29" s="485"/>
      <c r="D29" s="53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8"/>
      <c r="W29" s="527"/>
      <c r="X29" s="452"/>
    </row>
    <row r="30" ht="18.75" customHeight="1">
      <c r="A30" s="452"/>
      <c r="B30" s="453">
        <v>23.0</v>
      </c>
      <c r="C30" s="453"/>
      <c r="D30" s="453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8"/>
      <c r="W30" s="527"/>
      <c r="X30" s="452"/>
    </row>
    <row r="31" ht="18.75" customHeight="1">
      <c r="A31" s="452"/>
      <c r="B31" s="453" t="s">
        <v>133</v>
      </c>
      <c r="C31" s="453"/>
      <c r="D31" s="524">
        <f>SUM(D8:D30)</f>
        <v>0</v>
      </c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8"/>
      <c r="W31" s="527"/>
      <c r="X31" s="452"/>
    </row>
    <row r="32" ht="18.75" customHeight="1">
      <c r="A32" s="452"/>
      <c r="B32" s="453"/>
      <c r="C32" s="453"/>
      <c r="D32" s="45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8"/>
      <c r="W32" s="527"/>
      <c r="X32" s="452"/>
    </row>
    <row r="33" ht="18.75" customHeight="1">
      <c r="A33" s="452"/>
      <c r="B33" s="453"/>
      <c r="C33" s="453"/>
      <c r="D33" s="453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527"/>
      <c r="X33" s="452"/>
    </row>
    <row r="34" ht="18.75" customHeight="1">
      <c r="A34" s="452"/>
      <c r="B34" s="453"/>
      <c r="C34" s="453"/>
      <c r="D34" s="453"/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527"/>
      <c r="X34" s="452"/>
    </row>
    <row r="35" ht="18.75" customHeight="1">
      <c r="A35" s="452"/>
      <c r="B35" s="453"/>
      <c r="C35" s="453"/>
      <c r="D35" s="453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527"/>
      <c r="X35" s="452"/>
    </row>
    <row r="36" ht="18.7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527"/>
      <c r="X36" s="452"/>
      <c r="Y36" s="455"/>
      <c r="Z36" s="455"/>
    </row>
    <row r="37" ht="18.7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527"/>
      <c r="X37" s="452"/>
      <c r="Y37" s="455"/>
      <c r="Z37" s="455"/>
    </row>
    <row r="38" ht="18.75" customHeight="1">
      <c r="A38" s="452"/>
      <c r="B38" s="453"/>
      <c r="C38" s="453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527"/>
      <c r="X38" s="452"/>
      <c r="Y38" s="455"/>
      <c r="Z38" s="455"/>
    </row>
    <row r="39" ht="18.7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527"/>
      <c r="X39" s="452"/>
      <c r="Y39" s="455"/>
      <c r="Z39" s="455"/>
    </row>
    <row r="40" ht="18.7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527"/>
      <c r="X40" s="452"/>
      <c r="Y40" s="455"/>
      <c r="Z40" s="455"/>
    </row>
    <row r="41" ht="18.7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527"/>
      <c r="X41" s="452"/>
      <c r="Y41" s="455"/>
      <c r="Z41" s="455"/>
    </row>
    <row r="42" ht="18.7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527"/>
      <c r="X42" s="452"/>
      <c r="Y42" s="455"/>
      <c r="Z42" s="455"/>
    </row>
    <row r="43" ht="18.7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527"/>
      <c r="X43" s="452"/>
      <c r="Y43" s="455"/>
      <c r="Z43" s="455"/>
    </row>
    <row r="44" ht="18.7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527"/>
      <c r="X44" s="452"/>
      <c r="Y44" s="455"/>
      <c r="Z44" s="455"/>
    </row>
    <row r="45" ht="18.7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527"/>
      <c r="X45" s="452"/>
      <c r="Y45" s="455"/>
      <c r="Z45" s="455"/>
    </row>
    <row r="46" ht="18.7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527"/>
      <c r="X46" s="452"/>
      <c r="Y46" s="455"/>
      <c r="Z46" s="455"/>
    </row>
    <row r="47" ht="18.7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527"/>
      <c r="X47" s="452"/>
      <c r="Y47" s="455"/>
      <c r="Z47" s="455"/>
    </row>
    <row r="48" ht="18.7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527"/>
      <c r="X48" s="452"/>
      <c r="Y48" s="455"/>
      <c r="Z48" s="455"/>
    </row>
    <row r="49" ht="18.7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527"/>
      <c r="X49" s="452"/>
      <c r="Y49" s="455"/>
      <c r="Z49" s="455"/>
    </row>
    <row r="50" ht="18.7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527"/>
      <c r="X50" s="452"/>
      <c r="Y50" s="455"/>
      <c r="Z50" s="455"/>
    </row>
    <row r="51" ht="18.7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527"/>
      <c r="X51" s="452"/>
      <c r="Y51" s="455"/>
      <c r="Z51" s="455"/>
    </row>
    <row r="52" ht="18.7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527"/>
      <c r="X52" s="452"/>
      <c r="Y52" s="455"/>
      <c r="Z52" s="455"/>
    </row>
    <row r="53" ht="18.7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527"/>
      <c r="X53" s="452"/>
      <c r="Y53" s="452"/>
      <c r="Z53" s="452"/>
    </row>
    <row r="54" ht="18.7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527"/>
      <c r="X54" s="452"/>
      <c r="Y54" s="452"/>
      <c r="Z54" s="452"/>
    </row>
    <row r="55" ht="18.7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527"/>
      <c r="X55" s="452"/>
      <c r="Y55" s="452"/>
      <c r="Z55" s="452"/>
    </row>
    <row r="56" ht="18.7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527"/>
      <c r="X56" s="452"/>
      <c r="Y56" s="452"/>
      <c r="Z56" s="452"/>
    </row>
    <row r="57" ht="18.7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527"/>
      <c r="X57" s="452"/>
      <c r="Y57" s="452"/>
      <c r="Z57" s="452"/>
    </row>
    <row r="58" ht="18.75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527"/>
      <c r="X58" s="452"/>
      <c r="Y58" s="452"/>
      <c r="Z58" s="452"/>
    </row>
    <row r="59" ht="18.7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527"/>
      <c r="X59" s="452"/>
      <c r="Y59" s="452"/>
      <c r="Z59" s="452"/>
    </row>
    <row r="60" ht="18.7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527"/>
      <c r="X60" s="452"/>
      <c r="Y60" s="452"/>
      <c r="Z60" s="452"/>
    </row>
    <row r="61" ht="18.7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527"/>
      <c r="X61" s="452"/>
      <c r="Y61" s="452"/>
      <c r="Z61" s="452"/>
    </row>
    <row r="62" ht="18.7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527"/>
      <c r="X62" s="452"/>
      <c r="Y62" s="452"/>
      <c r="Z62" s="452"/>
    </row>
    <row r="63" ht="18.7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527"/>
      <c r="X63" s="452"/>
      <c r="Y63" s="452"/>
      <c r="Z63" s="452"/>
    </row>
    <row r="64" ht="18.7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527"/>
      <c r="X64" s="452"/>
      <c r="Y64" s="452"/>
      <c r="Z64" s="452"/>
    </row>
    <row r="65" ht="18.7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527"/>
      <c r="X65" s="452"/>
      <c r="Y65" s="452"/>
      <c r="Z65" s="452"/>
    </row>
    <row r="66" ht="18.7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527"/>
      <c r="X66" s="452"/>
      <c r="Y66" s="452"/>
      <c r="Z66" s="452"/>
    </row>
    <row r="67" ht="18.7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527"/>
      <c r="X67" s="452"/>
      <c r="Y67" s="452"/>
      <c r="Z67" s="452"/>
    </row>
    <row r="68" ht="18.7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527"/>
      <c r="X68" s="452"/>
      <c r="Y68" s="452"/>
      <c r="Z68" s="452"/>
    </row>
    <row r="69" ht="18.7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527"/>
      <c r="X69" s="452"/>
      <c r="Y69" s="452"/>
      <c r="Z69" s="452"/>
    </row>
    <row r="70" ht="18.7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527"/>
      <c r="X70" s="452"/>
      <c r="Y70" s="452"/>
      <c r="Z70" s="452"/>
    </row>
    <row r="71" ht="18.7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527"/>
      <c r="X71" s="452"/>
      <c r="Y71" s="452"/>
      <c r="Z71" s="452"/>
    </row>
    <row r="72" ht="18.7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527"/>
      <c r="X72" s="452"/>
      <c r="Y72" s="452"/>
      <c r="Z72" s="452"/>
    </row>
    <row r="73" ht="18.7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527"/>
      <c r="X73" s="452"/>
      <c r="Y73" s="452"/>
      <c r="Z73" s="452"/>
    </row>
    <row r="74" ht="18.7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527"/>
      <c r="X74" s="452"/>
      <c r="Y74" s="452"/>
      <c r="Z74" s="452"/>
    </row>
    <row r="75" ht="18.7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527"/>
      <c r="X75" s="452"/>
      <c r="Y75" s="452"/>
      <c r="Z75" s="452"/>
    </row>
    <row r="76" ht="18.7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527"/>
      <c r="X76" s="452"/>
      <c r="Y76" s="452"/>
      <c r="Z76" s="452"/>
    </row>
    <row r="77" ht="18.7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527"/>
      <c r="X77" s="452"/>
      <c r="Y77" s="452"/>
      <c r="Z77" s="452"/>
    </row>
    <row r="78" ht="18.7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527"/>
      <c r="X78" s="452"/>
      <c r="Y78" s="452"/>
      <c r="Z78" s="452"/>
    </row>
    <row r="79" ht="18.7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527"/>
      <c r="X79" s="452"/>
      <c r="Y79" s="452"/>
      <c r="Z79" s="452"/>
    </row>
    <row r="80" ht="18.7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527"/>
      <c r="X80" s="452"/>
      <c r="Y80" s="452"/>
      <c r="Z80" s="452"/>
    </row>
    <row r="81" ht="18.75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527"/>
      <c r="X81" s="452"/>
      <c r="Y81" s="452"/>
      <c r="Z81" s="452"/>
    </row>
    <row r="82" ht="18.7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527"/>
      <c r="X82" s="452"/>
      <c r="Y82" s="452"/>
      <c r="Z82" s="452"/>
    </row>
    <row r="83" ht="18.7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527"/>
      <c r="X83" s="452"/>
      <c r="Y83" s="452"/>
      <c r="Z83" s="452"/>
    </row>
    <row r="84" ht="18.7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527"/>
      <c r="X84" s="452"/>
      <c r="Y84" s="452"/>
      <c r="Z84" s="452"/>
    </row>
    <row r="85" ht="18.7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527"/>
      <c r="X85" s="452"/>
      <c r="Y85" s="452"/>
      <c r="Z85" s="452"/>
    </row>
    <row r="86" ht="18.7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527"/>
      <c r="X86" s="452"/>
      <c r="Y86" s="452"/>
      <c r="Z86" s="452"/>
    </row>
    <row r="87" ht="18.7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527"/>
      <c r="X87" s="452"/>
      <c r="Y87" s="452"/>
      <c r="Z87" s="452"/>
    </row>
    <row r="88" ht="18.7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527"/>
      <c r="X88" s="452"/>
      <c r="Y88" s="452"/>
      <c r="Z88" s="452"/>
    </row>
    <row r="89" ht="18.7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527"/>
      <c r="X89" s="452"/>
      <c r="Y89" s="452"/>
      <c r="Z89" s="452"/>
    </row>
    <row r="90" ht="18.7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527"/>
      <c r="X90" s="452"/>
      <c r="Y90" s="452"/>
      <c r="Z90" s="452"/>
    </row>
    <row r="91" ht="18.7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527"/>
      <c r="X91" s="452"/>
      <c r="Y91" s="452"/>
      <c r="Z91" s="452"/>
    </row>
    <row r="92" ht="18.7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527"/>
      <c r="X92" s="452"/>
      <c r="Y92" s="452"/>
      <c r="Z92" s="452"/>
    </row>
    <row r="93" ht="18.7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527"/>
      <c r="X93" s="452"/>
      <c r="Y93" s="452"/>
      <c r="Z93" s="452"/>
    </row>
    <row r="94" ht="18.7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527"/>
      <c r="X94" s="452"/>
      <c r="Y94" s="452"/>
      <c r="Z94" s="452"/>
    </row>
    <row r="95" ht="18.7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527"/>
      <c r="X95" s="452"/>
      <c r="Y95" s="452"/>
      <c r="Z95" s="452"/>
    </row>
    <row r="96" ht="18.7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527"/>
      <c r="X96" s="452"/>
      <c r="Y96" s="452"/>
      <c r="Z96" s="452"/>
    </row>
    <row r="97" ht="18.7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527"/>
      <c r="X97" s="452"/>
      <c r="Y97" s="452"/>
      <c r="Z97" s="452"/>
    </row>
    <row r="98" ht="18.7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527"/>
      <c r="X98" s="452"/>
      <c r="Y98" s="452"/>
      <c r="Z98" s="452"/>
    </row>
    <row r="99" ht="18.7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527"/>
      <c r="X99" s="452"/>
      <c r="Y99" s="452"/>
      <c r="Z99" s="452"/>
    </row>
    <row r="100" ht="18.7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527"/>
      <c r="X100" s="452"/>
      <c r="Y100" s="452"/>
      <c r="Z100" s="452"/>
    </row>
    <row r="101" ht="18.7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527"/>
      <c r="X101" s="452"/>
      <c r="Y101" s="452"/>
      <c r="Z101" s="452"/>
    </row>
    <row r="102" ht="18.7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527"/>
      <c r="X102" s="452"/>
      <c r="Y102" s="452"/>
      <c r="Z102" s="452"/>
    </row>
    <row r="103" ht="18.7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527"/>
      <c r="X103" s="452"/>
      <c r="Y103" s="452"/>
      <c r="Z103" s="452"/>
    </row>
    <row r="104" ht="18.7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527"/>
      <c r="X104" s="452"/>
      <c r="Y104" s="452"/>
      <c r="Z104" s="452"/>
    </row>
    <row r="105" ht="18.7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527"/>
      <c r="X105" s="452"/>
      <c r="Y105" s="452"/>
      <c r="Z105" s="452"/>
    </row>
    <row r="106" ht="18.7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527"/>
      <c r="X106" s="452"/>
      <c r="Y106" s="452"/>
      <c r="Z106" s="452"/>
    </row>
    <row r="107" ht="18.7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527"/>
      <c r="X107" s="452"/>
      <c r="Y107" s="452"/>
      <c r="Z107" s="452"/>
    </row>
    <row r="108" ht="18.7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527"/>
      <c r="X108" s="452"/>
      <c r="Y108" s="452"/>
      <c r="Z108" s="452"/>
    </row>
    <row r="109" ht="18.7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527"/>
      <c r="X109" s="452"/>
      <c r="Y109" s="452"/>
      <c r="Z109" s="452"/>
    </row>
    <row r="110" ht="18.7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527"/>
      <c r="X110" s="452"/>
      <c r="Y110" s="452"/>
      <c r="Z110" s="452"/>
    </row>
    <row r="111" ht="18.7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527"/>
      <c r="X111" s="452"/>
      <c r="Y111" s="452"/>
      <c r="Z111" s="452"/>
    </row>
    <row r="112" ht="18.7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527"/>
      <c r="X112" s="452"/>
      <c r="Y112" s="452"/>
      <c r="Z112" s="452"/>
    </row>
    <row r="113" ht="18.7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527"/>
      <c r="X113" s="452"/>
      <c r="Y113" s="452"/>
      <c r="Z113" s="452"/>
    </row>
    <row r="114" ht="18.7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527"/>
      <c r="X114" s="452"/>
      <c r="Y114" s="452"/>
      <c r="Z114" s="452"/>
    </row>
    <row r="115" ht="18.7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527"/>
      <c r="X115" s="452"/>
      <c r="Y115" s="452"/>
      <c r="Z115" s="452"/>
    </row>
    <row r="116" ht="18.7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527"/>
      <c r="X116" s="452"/>
      <c r="Y116" s="452"/>
      <c r="Z116" s="452"/>
    </row>
    <row r="117" ht="18.7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527"/>
      <c r="X117" s="452"/>
      <c r="Y117" s="452"/>
      <c r="Z117" s="452"/>
    </row>
    <row r="118" ht="18.7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527"/>
      <c r="X118" s="452"/>
      <c r="Y118" s="452"/>
      <c r="Z118" s="452"/>
    </row>
    <row r="119" ht="18.7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527"/>
      <c r="X119" s="452"/>
      <c r="Y119" s="452"/>
      <c r="Z119" s="452"/>
    </row>
    <row r="120" ht="18.7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527"/>
      <c r="X120" s="452"/>
      <c r="Y120" s="452"/>
      <c r="Z120" s="452"/>
    </row>
    <row r="121" ht="18.7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527"/>
      <c r="X121" s="452"/>
      <c r="Y121" s="452"/>
      <c r="Z121" s="452"/>
    </row>
    <row r="122" ht="18.7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527"/>
      <c r="X122" s="452"/>
      <c r="Y122" s="452"/>
      <c r="Z122" s="452"/>
    </row>
    <row r="123" ht="18.7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527"/>
      <c r="X123" s="452"/>
      <c r="Y123" s="452"/>
      <c r="Z123" s="452"/>
    </row>
    <row r="124" ht="18.7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527"/>
      <c r="X124" s="452"/>
      <c r="Y124" s="452"/>
      <c r="Z124" s="452"/>
    </row>
    <row r="125" ht="18.7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527"/>
      <c r="X125" s="452"/>
      <c r="Y125" s="452"/>
      <c r="Z125" s="452"/>
    </row>
    <row r="126" ht="18.7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527"/>
      <c r="X126" s="452"/>
      <c r="Y126" s="452"/>
      <c r="Z126" s="452"/>
    </row>
    <row r="127" ht="18.7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527"/>
      <c r="X127" s="452"/>
      <c r="Y127" s="452"/>
      <c r="Z127" s="452"/>
    </row>
    <row r="128" ht="18.7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527"/>
      <c r="X128" s="452"/>
      <c r="Y128" s="452"/>
      <c r="Z128" s="452"/>
    </row>
    <row r="129" ht="18.7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527"/>
      <c r="X129" s="452"/>
      <c r="Y129" s="452"/>
      <c r="Z129" s="452"/>
    </row>
    <row r="130" ht="18.7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527"/>
      <c r="X130" s="452"/>
      <c r="Y130" s="452"/>
      <c r="Z130" s="452"/>
    </row>
    <row r="131" ht="18.7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527"/>
      <c r="X131" s="452"/>
      <c r="Y131" s="452"/>
      <c r="Z131" s="452"/>
    </row>
    <row r="132" ht="18.7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527"/>
      <c r="X132" s="452"/>
      <c r="Y132" s="452"/>
      <c r="Z132" s="452"/>
    </row>
    <row r="133" ht="18.7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527"/>
      <c r="X133" s="452"/>
      <c r="Y133" s="452"/>
      <c r="Z133" s="452"/>
    </row>
    <row r="134" ht="18.7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527"/>
      <c r="X134" s="452"/>
      <c r="Y134" s="452"/>
      <c r="Z134" s="452"/>
    </row>
    <row r="135" ht="18.7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527"/>
      <c r="X135" s="452"/>
      <c r="Y135" s="452"/>
      <c r="Z135" s="452"/>
    </row>
    <row r="136" ht="18.7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527"/>
      <c r="X136" s="452"/>
      <c r="Y136" s="452"/>
      <c r="Z136" s="452"/>
    </row>
    <row r="137" ht="18.7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527"/>
      <c r="X137" s="452"/>
      <c r="Y137" s="452"/>
      <c r="Z137" s="452"/>
    </row>
    <row r="138" ht="18.7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527"/>
      <c r="X138" s="452"/>
      <c r="Y138" s="452"/>
      <c r="Z138" s="452"/>
    </row>
    <row r="139" ht="18.7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527"/>
      <c r="X139" s="452"/>
      <c r="Y139" s="452"/>
      <c r="Z139" s="452"/>
    </row>
    <row r="140" ht="18.7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527"/>
      <c r="X140" s="452"/>
      <c r="Y140" s="452"/>
      <c r="Z140" s="452"/>
    </row>
    <row r="141" ht="18.7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527"/>
      <c r="X141" s="452"/>
      <c r="Y141" s="452"/>
      <c r="Z141" s="452"/>
    </row>
    <row r="142" ht="18.7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527"/>
      <c r="X142" s="452"/>
      <c r="Y142" s="452"/>
      <c r="Z142" s="452"/>
    </row>
    <row r="143" ht="18.7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527"/>
      <c r="X143" s="452"/>
      <c r="Y143" s="452"/>
      <c r="Z143" s="452"/>
    </row>
    <row r="144" ht="18.7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527"/>
      <c r="X144" s="452"/>
      <c r="Y144" s="452"/>
      <c r="Z144" s="452"/>
    </row>
    <row r="145" ht="18.7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527"/>
      <c r="X145" s="452"/>
      <c r="Y145" s="452"/>
      <c r="Z145" s="452"/>
    </row>
    <row r="146" ht="18.7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527"/>
      <c r="X146" s="452"/>
      <c r="Y146" s="452"/>
      <c r="Z146" s="452"/>
    </row>
    <row r="147" ht="18.7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527"/>
      <c r="X147" s="452"/>
      <c r="Y147" s="452"/>
      <c r="Z147" s="452"/>
    </row>
    <row r="148" ht="18.7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527"/>
      <c r="X148" s="452"/>
      <c r="Y148" s="452"/>
      <c r="Z148" s="452"/>
    </row>
    <row r="149" ht="18.7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527"/>
      <c r="X149" s="452"/>
      <c r="Y149" s="452"/>
      <c r="Z149" s="452"/>
    </row>
    <row r="150" ht="18.7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527"/>
      <c r="X150" s="452"/>
      <c r="Y150" s="452"/>
      <c r="Z150" s="452"/>
    </row>
    <row r="151" ht="18.7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527"/>
      <c r="X151" s="452"/>
      <c r="Y151" s="452"/>
      <c r="Z151" s="452"/>
    </row>
    <row r="152" ht="18.7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527"/>
      <c r="X152" s="452"/>
      <c r="Y152" s="452"/>
      <c r="Z152" s="452"/>
    </row>
    <row r="153" ht="18.7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527"/>
      <c r="X153" s="452"/>
      <c r="Y153" s="452"/>
      <c r="Z153" s="452"/>
    </row>
    <row r="154" ht="18.7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527"/>
      <c r="X154" s="452"/>
      <c r="Y154" s="452"/>
      <c r="Z154" s="452"/>
    </row>
    <row r="155" ht="18.7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527"/>
      <c r="X155" s="452"/>
      <c r="Y155" s="452"/>
      <c r="Z155" s="452"/>
    </row>
    <row r="156" ht="18.7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527"/>
      <c r="X156" s="452"/>
      <c r="Y156" s="452"/>
      <c r="Z156" s="452"/>
    </row>
    <row r="157" ht="18.7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527"/>
      <c r="X157" s="452"/>
      <c r="Y157" s="452"/>
      <c r="Z157" s="452"/>
    </row>
    <row r="158" ht="18.7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527"/>
      <c r="X158" s="452"/>
      <c r="Y158" s="452"/>
      <c r="Z158" s="452"/>
    </row>
    <row r="159" ht="18.7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527"/>
      <c r="X159" s="452"/>
      <c r="Y159" s="452"/>
      <c r="Z159" s="452"/>
    </row>
    <row r="160" ht="18.7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527"/>
      <c r="X160" s="452"/>
      <c r="Y160" s="452"/>
      <c r="Z160" s="452"/>
    </row>
    <row r="161" ht="18.7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527"/>
      <c r="X161" s="452"/>
      <c r="Y161" s="452"/>
      <c r="Z161" s="452"/>
    </row>
    <row r="162" ht="18.7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527"/>
      <c r="X162" s="452"/>
      <c r="Y162" s="452"/>
      <c r="Z162" s="452"/>
    </row>
    <row r="163" ht="18.7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527"/>
      <c r="X163" s="452"/>
      <c r="Y163" s="452"/>
      <c r="Z163" s="452"/>
    </row>
    <row r="164" ht="18.7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527"/>
      <c r="X164" s="452"/>
      <c r="Y164" s="452"/>
      <c r="Z164" s="452"/>
    </row>
    <row r="165" ht="18.7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527"/>
      <c r="X165" s="452"/>
      <c r="Y165" s="452"/>
      <c r="Z165" s="452"/>
    </row>
    <row r="166" ht="18.7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527"/>
      <c r="X166" s="452"/>
      <c r="Y166" s="452"/>
      <c r="Z166" s="452"/>
    </row>
    <row r="167" ht="18.7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527"/>
      <c r="X167" s="452"/>
      <c r="Y167" s="452"/>
      <c r="Z167" s="452"/>
    </row>
    <row r="168" ht="18.7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527"/>
      <c r="X168" s="452"/>
      <c r="Y168" s="452"/>
      <c r="Z168" s="452"/>
    </row>
    <row r="169" ht="18.7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527"/>
      <c r="X169" s="452"/>
      <c r="Y169" s="452"/>
      <c r="Z169" s="452"/>
    </row>
    <row r="170" ht="18.7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527"/>
      <c r="X170" s="452"/>
      <c r="Y170" s="452"/>
      <c r="Z170" s="452"/>
    </row>
    <row r="171" ht="18.75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527"/>
      <c r="X171" s="452"/>
      <c r="Y171" s="452"/>
      <c r="Z171" s="452"/>
    </row>
    <row r="172" ht="18.75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527"/>
      <c r="X172" s="452"/>
      <c r="Y172" s="452"/>
      <c r="Z172" s="452"/>
    </row>
    <row r="173" ht="18.75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527"/>
      <c r="X173" s="452"/>
      <c r="Y173" s="452"/>
      <c r="Z173" s="452"/>
    </row>
    <row r="174" ht="18.75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527"/>
      <c r="X174" s="452"/>
      <c r="Y174" s="452"/>
      <c r="Z174" s="452"/>
    </row>
    <row r="175" ht="18.75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527"/>
      <c r="X175" s="452"/>
      <c r="Y175" s="452"/>
      <c r="Z175" s="452"/>
    </row>
    <row r="176" ht="18.75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527"/>
      <c r="X176" s="452"/>
      <c r="Y176" s="452"/>
      <c r="Z176" s="452"/>
    </row>
    <row r="177" ht="18.75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527"/>
      <c r="X177" s="452"/>
      <c r="Y177" s="452"/>
      <c r="Z177" s="452"/>
    </row>
    <row r="178" ht="18.75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527"/>
      <c r="X178" s="452"/>
      <c r="Y178" s="452"/>
      <c r="Z178" s="452"/>
    </row>
    <row r="179" ht="18.75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527"/>
      <c r="X179" s="452"/>
      <c r="Y179" s="452"/>
      <c r="Z179" s="452"/>
    </row>
    <row r="180" ht="18.75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527"/>
      <c r="X180" s="452"/>
      <c r="Y180" s="452"/>
      <c r="Z180" s="452"/>
    </row>
    <row r="181" ht="18.75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527"/>
      <c r="X181" s="452"/>
      <c r="Y181" s="452"/>
      <c r="Z181" s="452"/>
    </row>
    <row r="182" ht="18.75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527"/>
      <c r="X182" s="452"/>
      <c r="Y182" s="452"/>
      <c r="Z182" s="452"/>
    </row>
    <row r="183" ht="18.75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527"/>
      <c r="X183" s="452"/>
      <c r="Y183" s="452"/>
      <c r="Z183" s="452"/>
    </row>
    <row r="184" ht="18.75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527"/>
      <c r="X184" s="452"/>
      <c r="Y184" s="452"/>
      <c r="Z184" s="452"/>
    </row>
    <row r="185" ht="18.75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527"/>
      <c r="X185" s="452"/>
      <c r="Y185" s="452"/>
      <c r="Z185" s="452"/>
    </row>
    <row r="186" ht="18.75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527"/>
      <c r="X186" s="452"/>
      <c r="Y186" s="452"/>
      <c r="Z186" s="452"/>
    </row>
    <row r="187" ht="18.75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527"/>
      <c r="X187" s="452"/>
      <c r="Y187" s="452"/>
      <c r="Z187" s="452"/>
    </row>
    <row r="188" ht="18.75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527"/>
      <c r="X188" s="452"/>
      <c r="Y188" s="452"/>
      <c r="Z188" s="452"/>
    </row>
    <row r="189" ht="18.75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527"/>
      <c r="X189" s="452"/>
      <c r="Y189" s="452"/>
      <c r="Z189" s="452"/>
    </row>
    <row r="190" ht="18.75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527"/>
      <c r="X190" s="452"/>
      <c r="Y190" s="452"/>
      <c r="Z190" s="452"/>
    </row>
    <row r="191" ht="18.75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527"/>
      <c r="X191" s="452"/>
      <c r="Y191" s="452"/>
      <c r="Z191" s="452"/>
    </row>
    <row r="192" ht="18.75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527"/>
      <c r="X192" s="452"/>
      <c r="Y192" s="452"/>
      <c r="Z192" s="452"/>
    </row>
    <row r="193" ht="18.75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527"/>
      <c r="X193" s="452"/>
      <c r="Y193" s="452"/>
      <c r="Z193" s="452"/>
    </row>
    <row r="194" ht="18.75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527"/>
      <c r="X194" s="452"/>
      <c r="Y194" s="452"/>
      <c r="Z194" s="452"/>
    </row>
    <row r="195" ht="18.75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527"/>
      <c r="X195" s="452"/>
      <c r="Y195" s="452"/>
      <c r="Z195" s="452"/>
    </row>
    <row r="196" ht="18.75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527"/>
      <c r="X196" s="452"/>
      <c r="Y196" s="452"/>
      <c r="Z196" s="452"/>
    </row>
    <row r="197" ht="18.75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527"/>
      <c r="X197" s="452"/>
      <c r="Y197" s="452"/>
      <c r="Z197" s="452"/>
    </row>
    <row r="198" ht="18.75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527"/>
      <c r="X198" s="452"/>
      <c r="Y198" s="452"/>
      <c r="Z198" s="452"/>
    </row>
    <row r="199" ht="18.75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527"/>
      <c r="X199" s="452"/>
      <c r="Y199" s="452"/>
      <c r="Z199" s="452"/>
    </row>
    <row r="200" ht="18.75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527"/>
      <c r="X200" s="452"/>
      <c r="Y200" s="452"/>
      <c r="Z200" s="452"/>
    </row>
    <row r="201" ht="18.75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527"/>
      <c r="X201" s="452"/>
      <c r="Y201" s="452"/>
      <c r="Z201" s="452"/>
    </row>
    <row r="202" ht="18.75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527"/>
      <c r="X202" s="452"/>
      <c r="Y202" s="452"/>
      <c r="Z202" s="452"/>
    </row>
    <row r="203" ht="18.75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527"/>
      <c r="X203" s="452"/>
      <c r="Y203" s="452"/>
      <c r="Z203" s="452"/>
    </row>
    <row r="204" ht="18.75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527"/>
      <c r="X204" s="452"/>
      <c r="Y204" s="452"/>
      <c r="Z204" s="452"/>
    </row>
    <row r="205" ht="18.75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527"/>
      <c r="X205" s="452"/>
      <c r="Y205" s="452"/>
      <c r="Z205" s="452"/>
    </row>
    <row r="206" ht="18.75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527"/>
      <c r="X206" s="452"/>
      <c r="Y206" s="452"/>
      <c r="Z206" s="452"/>
    </row>
    <row r="207" ht="18.75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527"/>
      <c r="X207" s="452"/>
      <c r="Y207" s="452"/>
      <c r="Z207" s="452"/>
    </row>
    <row r="208" ht="18.75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527"/>
      <c r="X208" s="452"/>
      <c r="Y208" s="452"/>
      <c r="Z208" s="452"/>
    </row>
    <row r="209" ht="18.75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527"/>
      <c r="X209" s="452"/>
      <c r="Y209" s="452"/>
      <c r="Z209" s="452"/>
    </row>
    <row r="210" ht="18.75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527"/>
      <c r="X210" s="452"/>
      <c r="Y210" s="452"/>
      <c r="Z210" s="452"/>
    </row>
    <row r="211" ht="18.75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527"/>
      <c r="X211" s="452"/>
      <c r="Y211" s="452"/>
      <c r="Z211" s="452"/>
    </row>
    <row r="212" ht="18.75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527"/>
      <c r="X212" s="452"/>
      <c r="Y212" s="452"/>
      <c r="Z212" s="452"/>
    </row>
    <row r="213" ht="18.75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527"/>
      <c r="X213" s="452"/>
      <c r="Y213" s="452"/>
      <c r="Z213" s="452"/>
    </row>
    <row r="214" ht="18.75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527"/>
      <c r="X214" s="452"/>
      <c r="Y214" s="452"/>
      <c r="Z214" s="452"/>
    </row>
    <row r="215" ht="18.75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527"/>
      <c r="X215" s="452"/>
      <c r="Y215" s="452"/>
      <c r="Z215" s="452"/>
    </row>
    <row r="216" ht="18.75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527"/>
      <c r="X216" s="452"/>
      <c r="Y216" s="452"/>
      <c r="Z216" s="452"/>
    </row>
    <row r="217" ht="18.75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527"/>
      <c r="X217" s="452"/>
      <c r="Y217" s="452"/>
      <c r="Z217" s="452"/>
    </row>
    <row r="218" ht="18.75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527"/>
      <c r="X218" s="452"/>
      <c r="Y218" s="452"/>
      <c r="Z218" s="452"/>
    </row>
    <row r="219" ht="18.75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527"/>
      <c r="X219" s="452"/>
      <c r="Y219" s="452"/>
      <c r="Z219" s="452"/>
    </row>
    <row r="220" ht="18.75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527"/>
      <c r="X220" s="452"/>
      <c r="Y220" s="452"/>
      <c r="Z220" s="452"/>
    </row>
    <row r="221" ht="18.75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527"/>
      <c r="X221" s="452"/>
      <c r="Y221" s="452"/>
      <c r="Z221" s="452"/>
    </row>
    <row r="222" ht="18.75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527"/>
      <c r="X222" s="452"/>
      <c r="Y222" s="452"/>
      <c r="Z222" s="452"/>
    </row>
    <row r="223" ht="18.75" customHeight="1">
      <c r="A223" s="452"/>
      <c r="B223" s="453"/>
      <c r="C223" s="485"/>
      <c r="D223" s="453"/>
      <c r="E223" s="485"/>
      <c r="F223" s="486"/>
      <c r="G223" s="486"/>
      <c r="H223" s="485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527"/>
      <c r="X223" s="452"/>
      <c r="Y223" s="452"/>
      <c r="Z223" s="452"/>
    </row>
    <row r="224" ht="18.75" customHeight="1">
      <c r="A224" s="452"/>
      <c r="B224" s="485"/>
      <c r="C224" s="485"/>
      <c r="D224" s="485"/>
      <c r="E224" s="485"/>
      <c r="F224" s="486"/>
      <c r="G224" s="486"/>
      <c r="H224" s="485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527"/>
      <c r="X224" s="452"/>
      <c r="Y224" s="452"/>
      <c r="Z224" s="452"/>
    </row>
    <row r="225" ht="18.75" customHeight="1">
      <c r="A225" s="452"/>
      <c r="B225" s="485"/>
      <c r="C225" s="485"/>
      <c r="D225" s="485"/>
      <c r="E225" s="485"/>
      <c r="F225" s="486"/>
      <c r="G225" s="486"/>
      <c r="H225" s="485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527"/>
      <c r="X225" s="452"/>
      <c r="Y225" s="452"/>
      <c r="Z225" s="452"/>
    </row>
    <row r="226" ht="18.75" customHeight="1">
      <c r="A226" s="452"/>
      <c r="B226" s="485"/>
      <c r="C226" s="485"/>
      <c r="D226" s="485"/>
      <c r="E226" s="485"/>
      <c r="F226" s="486"/>
      <c r="G226" s="486"/>
      <c r="H226" s="485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527"/>
      <c r="X226" s="452"/>
      <c r="Y226" s="452"/>
      <c r="Z226" s="452"/>
    </row>
    <row r="227" ht="18.75" customHeight="1">
      <c r="A227" s="452"/>
      <c r="B227" s="485"/>
      <c r="C227" s="485"/>
      <c r="D227" s="485"/>
      <c r="E227" s="485"/>
      <c r="F227" s="486"/>
      <c r="G227" s="486"/>
      <c r="H227" s="485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527"/>
      <c r="X227" s="452"/>
      <c r="Y227" s="452"/>
      <c r="Z227" s="452"/>
    </row>
    <row r="228" ht="18.75" customHeight="1">
      <c r="A228" s="452"/>
      <c r="B228" s="485"/>
      <c r="C228" s="485"/>
      <c r="D228" s="485"/>
      <c r="E228" s="485"/>
      <c r="F228" s="486"/>
      <c r="G228" s="486"/>
      <c r="H228" s="485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527"/>
      <c r="X228" s="452"/>
      <c r="Y228" s="452"/>
      <c r="Z228" s="452"/>
    </row>
    <row r="229" ht="18.75" customHeight="1">
      <c r="A229" s="452"/>
      <c r="B229" s="485"/>
      <c r="C229" s="485"/>
      <c r="D229" s="485"/>
      <c r="E229" s="485"/>
      <c r="F229" s="486"/>
      <c r="G229" s="486"/>
      <c r="H229" s="485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527"/>
      <c r="X229" s="452"/>
      <c r="Y229" s="452"/>
      <c r="Z229" s="452"/>
    </row>
    <row r="230" ht="18.75" customHeight="1">
      <c r="A230" s="452"/>
      <c r="B230" s="485"/>
      <c r="C230" s="485"/>
      <c r="D230" s="485"/>
      <c r="E230" s="485"/>
      <c r="F230" s="486"/>
      <c r="G230" s="486"/>
      <c r="H230" s="485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527"/>
      <c r="X230" s="452"/>
      <c r="Y230" s="452"/>
      <c r="Z230" s="452"/>
    </row>
    <row r="231" ht="18.75" customHeight="1">
      <c r="A231" s="452"/>
      <c r="B231" s="485"/>
      <c r="C231" s="485"/>
      <c r="D231" s="485"/>
      <c r="E231" s="485"/>
      <c r="F231" s="486"/>
      <c r="G231" s="486"/>
      <c r="H231" s="485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527"/>
      <c r="X231" s="452"/>
      <c r="Y231" s="452"/>
      <c r="Z231" s="452"/>
    </row>
    <row r="232" ht="18.75" customHeight="1">
      <c r="A232" s="452"/>
      <c r="B232" s="485"/>
      <c r="C232" s="485"/>
      <c r="D232" s="485"/>
      <c r="E232" s="485"/>
      <c r="F232" s="486"/>
      <c r="G232" s="486"/>
      <c r="H232" s="485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527"/>
      <c r="X232" s="452"/>
      <c r="Y232" s="452"/>
      <c r="Z232" s="452"/>
    </row>
    <row r="233" ht="18.75" customHeight="1">
      <c r="A233" s="452"/>
      <c r="B233" s="485"/>
      <c r="C233" s="485"/>
      <c r="D233" s="485"/>
      <c r="E233" s="485"/>
      <c r="F233" s="486"/>
      <c r="G233" s="486"/>
      <c r="H233" s="485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527"/>
      <c r="X233" s="452"/>
      <c r="Y233" s="452"/>
      <c r="Z233" s="452"/>
    </row>
    <row r="234" ht="18.75" customHeight="1">
      <c r="A234" s="452"/>
      <c r="B234" s="485"/>
      <c r="C234" s="485"/>
      <c r="D234" s="485"/>
      <c r="E234" s="485"/>
      <c r="F234" s="486"/>
      <c r="G234" s="486"/>
      <c r="H234" s="485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527"/>
      <c r="X234" s="452"/>
      <c r="Y234" s="452"/>
      <c r="Z234" s="452"/>
    </row>
    <row r="235" ht="18.75" customHeight="1">
      <c r="A235" s="452"/>
      <c r="B235" s="485"/>
      <c r="C235" s="485"/>
      <c r="D235" s="485"/>
      <c r="E235" s="485"/>
      <c r="F235" s="486"/>
      <c r="G235" s="486"/>
      <c r="H235" s="485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527"/>
      <c r="X235" s="452"/>
      <c r="Y235" s="452"/>
      <c r="Z235" s="452"/>
    </row>
    <row r="236" ht="18.75" customHeight="1">
      <c r="A236" s="452"/>
      <c r="B236" s="485"/>
      <c r="C236" s="485"/>
      <c r="D236" s="485"/>
      <c r="E236" s="485"/>
      <c r="F236" s="486"/>
      <c r="G236" s="486"/>
      <c r="H236" s="485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527"/>
      <c r="X236" s="452"/>
      <c r="Y236" s="452"/>
      <c r="Z236" s="452"/>
    </row>
    <row r="237" ht="18.75" customHeight="1">
      <c r="A237" s="452"/>
      <c r="B237" s="485"/>
      <c r="C237" s="485"/>
      <c r="D237" s="485"/>
      <c r="E237" s="485"/>
      <c r="F237" s="486"/>
      <c r="G237" s="486"/>
      <c r="H237" s="485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527"/>
      <c r="X237" s="452"/>
      <c r="Y237" s="452"/>
      <c r="Z237" s="452"/>
    </row>
    <row r="238" ht="18.75" customHeight="1">
      <c r="A238" s="452"/>
      <c r="B238" s="485"/>
      <c r="C238" s="485"/>
      <c r="D238" s="485"/>
      <c r="E238" s="485"/>
      <c r="F238" s="486"/>
      <c r="G238" s="486"/>
      <c r="H238" s="485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527"/>
      <c r="X238" s="452"/>
      <c r="Y238" s="452"/>
      <c r="Z238" s="452"/>
    </row>
    <row r="239" ht="18.75" customHeight="1">
      <c r="A239" s="452"/>
      <c r="B239" s="485"/>
      <c r="C239" s="485"/>
      <c r="D239" s="485"/>
      <c r="E239" s="485"/>
      <c r="F239" s="486"/>
      <c r="G239" s="486"/>
      <c r="H239" s="485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527"/>
      <c r="X239" s="452"/>
      <c r="Y239" s="452"/>
      <c r="Z239" s="452"/>
    </row>
    <row r="240" ht="18.75" customHeight="1">
      <c r="A240" s="452"/>
      <c r="B240" s="485"/>
      <c r="C240" s="485"/>
      <c r="D240" s="485"/>
      <c r="E240" s="485"/>
      <c r="F240" s="486"/>
      <c r="G240" s="486"/>
      <c r="H240" s="485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527"/>
      <c r="X240" s="452"/>
      <c r="Y240" s="452"/>
      <c r="Z240" s="452"/>
    </row>
    <row r="241" ht="18.75" customHeight="1">
      <c r="A241" s="452"/>
      <c r="B241" s="485"/>
      <c r="C241" s="485"/>
      <c r="D241" s="485"/>
      <c r="E241" s="485"/>
      <c r="F241" s="486"/>
      <c r="G241" s="486"/>
      <c r="H241" s="485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527"/>
      <c r="X241" s="452"/>
      <c r="Y241" s="452"/>
      <c r="Z241" s="452"/>
    </row>
    <row r="242" ht="18.75" customHeight="1">
      <c r="A242" s="452"/>
      <c r="B242" s="487"/>
      <c r="C242" s="487"/>
      <c r="D242" s="487"/>
      <c r="E242" s="487"/>
      <c r="F242" s="488"/>
      <c r="G242" s="488"/>
      <c r="H242" s="487"/>
      <c r="I242" s="489"/>
      <c r="J242" s="489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527"/>
      <c r="X242" s="452"/>
      <c r="Y242" s="452"/>
      <c r="Z242" s="452"/>
    </row>
    <row r="243" ht="18.75" customHeight="1">
      <c r="A243" s="452"/>
      <c r="B243" s="487"/>
      <c r="C243" s="487"/>
      <c r="D243" s="487"/>
      <c r="E243" s="487"/>
      <c r="F243" s="488"/>
      <c r="G243" s="488"/>
      <c r="H243" s="487"/>
      <c r="I243" s="489"/>
      <c r="J243" s="489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5"/>
      <c r="W243" s="527"/>
      <c r="X243" s="452"/>
      <c r="Y243" s="452"/>
      <c r="Z243" s="452"/>
    </row>
    <row r="244" ht="18.75" customHeight="1">
      <c r="A244" s="452"/>
      <c r="B244" s="487"/>
      <c r="C244" s="487"/>
      <c r="D244" s="487"/>
      <c r="E244" s="487"/>
      <c r="F244" s="488"/>
      <c r="G244" s="488"/>
      <c r="H244" s="487"/>
      <c r="I244" s="489"/>
      <c r="J244" s="489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5"/>
      <c r="W244" s="527"/>
      <c r="X244" s="452"/>
      <c r="Y244" s="452"/>
      <c r="Z244" s="452"/>
    </row>
    <row r="245" ht="18.75" customHeight="1">
      <c r="A245" s="452"/>
      <c r="B245" s="487"/>
      <c r="C245" s="487"/>
      <c r="D245" s="487"/>
      <c r="E245" s="487"/>
      <c r="F245" s="488"/>
      <c r="G245" s="488"/>
      <c r="H245" s="487"/>
      <c r="I245" s="489"/>
      <c r="J245" s="489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5"/>
      <c r="W245" s="527"/>
      <c r="X245" s="452"/>
      <c r="Y245" s="452"/>
      <c r="Z245" s="452"/>
    </row>
    <row r="246" ht="18.75" customHeight="1">
      <c r="A246" s="452"/>
      <c r="B246" s="487"/>
      <c r="C246" s="487"/>
      <c r="D246" s="487"/>
      <c r="E246" s="487"/>
      <c r="F246" s="488"/>
      <c r="G246" s="488"/>
      <c r="H246" s="487"/>
      <c r="I246" s="489"/>
      <c r="J246" s="489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5"/>
      <c r="W246" s="527"/>
      <c r="X246" s="452"/>
      <c r="Y246" s="452"/>
      <c r="Z246" s="452"/>
    </row>
    <row r="247" ht="18.75" customHeight="1">
      <c r="A247" s="452"/>
      <c r="B247" s="490"/>
      <c r="C247" s="490"/>
      <c r="D247" s="490"/>
      <c r="E247" s="490"/>
      <c r="F247" s="491"/>
      <c r="G247" s="491"/>
      <c r="H247" s="490"/>
      <c r="I247" s="492"/>
      <c r="J247" s="492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5"/>
      <c r="W247" s="527"/>
      <c r="X247" s="452"/>
      <c r="Y247" s="452"/>
      <c r="Z247" s="452"/>
    </row>
    <row r="248" ht="18.75" customHeight="1">
      <c r="A248" s="452"/>
      <c r="B248" s="490"/>
      <c r="C248" s="490"/>
      <c r="D248" s="490"/>
      <c r="E248" s="490"/>
      <c r="F248" s="491"/>
      <c r="G248" s="491"/>
      <c r="H248" s="490"/>
      <c r="I248" s="492"/>
      <c r="J248" s="492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5"/>
      <c r="W248" s="527"/>
      <c r="X248" s="452"/>
      <c r="Y248" s="452"/>
      <c r="Z248" s="452"/>
    </row>
    <row r="249" ht="18.75" customHeight="1">
      <c r="A249" s="452"/>
      <c r="B249" s="490"/>
      <c r="C249" s="490"/>
      <c r="D249" s="490"/>
      <c r="E249" s="490"/>
      <c r="F249" s="491"/>
      <c r="G249" s="491"/>
      <c r="H249" s="490"/>
      <c r="I249" s="492"/>
      <c r="J249" s="492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5"/>
      <c r="W249" s="527"/>
      <c r="X249" s="452"/>
      <c r="Y249" s="452"/>
      <c r="Z249" s="452"/>
    </row>
    <row r="250" ht="18.75" customHeight="1">
      <c r="A250" s="452"/>
      <c r="B250" s="490"/>
      <c r="C250" s="490"/>
      <c r="D250" s="490"/>
      <c r="E250" s="490"/>
      <c r="F250" s="491"/>
      <c r="G250" s="491"/>
      <c r="H250" s="490"/>
      <c r="I250" s="492"/>
      <c r="J250" s="492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5"/>
      <c r="W250" s="527"/>
      <c r="X250" s="452"/>
      <c r="Y250" s="452"/>
      <c r="Z250" s="452"/>
    </row>
    <row r="251" ht="18.75" customHeight="1">
      <c r="A251" s="452"/>
      <c r="B251" s="490"/>
      <c r="C251" s="490"/>
      <c r="D251" s="490"/>
      <c r="E251" s="490"/>
      <c r="F251" s="491"/>
      <c r="G251" s="491"/>
      <c r="H251" s="490"/>
      <c r="I251" s="492"/>
      <c r="J251" s="492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5"/>
      <c r="W251" s="527"/>
      <c r="X251" s="452"/>
      <c r="Y251" s="452"/>
      <c r="Z251" s="452"/>
    </row>
    <row r="252" ht="18.75" customHeight="1">
      <c r="A252" s="452"/>
      <c r="B252" s="490"/>
      <c r="C252" s="490"/>
      <c r="D252" s="490"/>
      <c r="E252" s="490"/>
      <c r="F252" s="491"/>
      <c r="G252" s="491"/>
      <c r="H252" s="490"/>
      <c r="I252" s="492"/>
      <c r="J252" s="492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5"/>
      <c r="W252" s="527"/>
      <c r="X252" s="452"/>
      <c r="Y252" s="452"/>
      <c r="Z252" s="452"/>
    </row>
    <row r="253" ht="18.75" customHeight="1">
      <c r="A253" s="452"/>
      <c r="B253" s="490"/>
      <c r="C253" s="490"/>
      <c r="D253" s="490"/>
      <c r="E253" s="490"/>
      <c r="F253" s="491"/>
      <c r="G253" s="491"/>
      <c r="H253" s="490"/>
      <c r="I253" s="492"/>
      <c r="J253" s="492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5"/>
      <c r="W253" s="527"/>
      <c r="X253" s="452"/>
      <c r="Y253" s="452"/>
      <c r="Z253" s="452"/>
    </row>
    <row r="254" ht="18.75" customHeight="1">
      <c r="A254" s="452"/>
      <c r="B254" s="490"/>
      <c r="C254" s="490"/>
      <c r="D254" s="490"/>
      <c r="E254" s="490"/>
      <c r="F254" s="491"/>
      <c r="G254" s="491"/>
      <c r="H254" s="490"/>
      <c r="I254" s="492"/>
      <c r="J254" s="492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5"/>
      <c r="W254" s="527"/>
      <c r="X254" s="452"/>
      <c r="Y254" s="452"/>
      <c r="Z254" s="452"/>
    </row>
    <row r="255" ht="18.75" customHeight="1">
      <c r="A255" s="452"/>
      <c r="B255" s="490"/>
      <c r="C255" s="490"/>
      <c r="D255" s="490"/>
      <c r="E255" s="490"/>
      <c r="F255" s="491"/>
      <c r="G255" s="491"/>
      <c r="H255" s="490"/>
      <c r="I255" s="492"/>
      <c r="J255" s="492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5"/>
      <c r="W255" s="527"/>
      <c r="X255" s="452"/>
      <c r="Y255" s="452"/>
      <c r="Z255" s="452"/>
    </row>
    <row r="256" ht="18.75" customHeight="1">
      <c r="A256" s="452"/>
      <c r="B256" s="490"/>
      <c r="C256" s="490"/>
      <c r="D256" s="490"/>
      <c r="E256" s="490"/>
      <c r="F256" s="491"/>
      <c r="G256" s="491"/>
      <c r="H256" s="490"/>
      <c r="I256" s="492"/>
      <c r="J256" s="492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5"/>
      <c r="W256" s="527"/>
      <c r="X256" s="452"/>
      <c r="Y256" s="452"/>
      <c r="Z256" s="452"/>
    </row>
    <row r="257" ht="18.75" customHeight="1">
      <c r="A257" s="452"/>
      <c r="B257" s="490"/>
      <c r="C257" s="490"/>
      <c r="D257" s="490"/>
      <c r="E257" s="490"/>
      <c r="F257" s="491"/>
      <c r="G257" s="491"/>
      <c r="H257" s="490"/>
      <c r="I257" s="492"/>
      <c r="J257" s="492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5"/>
      <c r="W257" s="527"/>
      <c r="X257" s="452"/>
      <c r="Y257" s="452"/>
      <c r="Z257" s="452"/>
    </row>
    <row r="258" ht="18.75" customHeight="1">
      <c r="A258" s="452"/>
      <c r="B258" s="490"/>
      <c r="C258" s="490"/>
      <c r="D258" s="490"/>
      <c r="E258" s="490"/>
      <c r="F258" s="491"/>
      <c r="G258" s="491"/>
      <c r="H258" s="490"/>
      <c r="I258" s="492"/>
      <c r="J258" s="492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5"/>
      <c r="W258" s="527"/>
      <c r="X258" s="452"/>
      <c r="Y258" s="452"/>
      <c r="Z258" s="452"/>
    </row>
    <row r="259" ht="18.75" customHeight="1">
      <c r="A259" s="452"/>
      <c r="B259" s="490"/>
      <c r="C259" s="490"/>
      <c r="D259" s="490"/>
      <c r="E259" s="490"/>
      <c r="F259" s="491"/>
      <c r="G259" s="491"/>
      <c r="H259" s="490"/>
      <c r="I259" s="492"/>
      <c r="J259" s="492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5"/>
      <c r="W259" s="527"/>
      <c r="X259" s="452"/>
      <c r="Y259" s="452"/>
      <c r="Z259" s="452"/>
    </row>
    <row r="260" ht="18.75" customHeight="1">
      <c r="A260" s="452"/>
      <c r="B260" s="490"/>
      <c r="C260" s="490"/>
      <c r="D260" s="490"/>
      <c r="E260" s="490"/>
      <c r="F260" s="491"/>
      <c r="G260" s="491"/>
      <c r="H260" s="490"/>
      <c r="I260" s="492"/>
      <c r="J260" s="492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5"/>
      <c r="W260" s="527"/>
      <c r="X260" s="452"/>
      <c r="Y260" s="452"/>
      <c r="Z260" s="452"/>
    </row>
    <row r="261" ht="18.75" customHeight="1">
      <c r="A261" s="452"/>
      <c r="B261" s="490"/>
      <c r="C261" s="490"/>
      <c r="D261" s="490"/>
      <c r="E261" s="490"/>
      <c r="F261" s="491"/>
      <c r="G261" s="491"/>
      <c r="H261" s="490"/>
      <c r="I261" s="492"/>
      <c r="J261" s="492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5"/>
      <c r="W261" s="527"/>
      <c r="X261" s="452"/>
      <c r="Y261" s="452"/>
      <c r="Z261" s="452"/>
    </row>
    <row r="262" ht="18.75" customHeight="1">
      <c r="A262" s="452"/>
      <c r="B262" s="490"/>
      <c r="C262" s="490"/>
      <c r="D262" s="490"/>
      <c r="E262" s="490"/>
      <c r="F262" s="491"/>
      <c r="G262" s="491"/>
      <c r="H262" s="490"/>
      <c r="I262" s="492"/>
      <c r="J262" s="492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5"/>
      <c r="W262" s="527"/>
      <c r="X262" s="452"/>
      <c r="Y262" s="452"/>
      <c r="Z262" s="452"/>
    </row>
    <row r="263" ht="18.75" customHeight="1">
      <c r="A263" s="452"/>
      <c r="B263" s="490"/>
      <c r="C263" s="490"/>
      <c r="D263" s="490"/>
      <c r="E263" s="490"/>
      <c r="F263" s="491"/>
      <c r="G263" s="491"/>
      <c r="H263" s="490"/>
      <c r="I263" s="492"/>
      <c r="J263" s="492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5"/>
      <c r="W263" s="527"/>
      <c r="X263" s="452"/>
      <c r="Y263" s="452"/>
      <c r="Z263" s="452"/>
    </row>
    <row r="264" ht="18.75" customHeight="1">
      <c r="A264" s="452"/>
      <c r="B264" s="490"/>
      <c r="C264" s="490"/>
      <c r="D264" s="490"/>
      <c r="E264" s="490"/>
      <c r="F264" s="491"/>
      <c r="G264" s="491"/>
      <c r="H264" s="490"/>
      <c r="I264" s="492"/>
      <c r="J264" s="492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5"/>
      <c r="W264" s="527"/>
      <c r="X264" s="452"/>
      <c r="Y264" s="452"/>
      <c r="Z264" s="452"/>
    </row>
    <row r="265" ht="18.75" customHeight="1">
      <c r="A265" s="452"/>
      <c r="B265" s="490"/>
      <c r="C265" s="490"/>
      <c r="D265" s="490"/>
      <c r="E265" s="490"/>
      <c r="F265" s="491"/>
      <c r="G265" s="491"/>
      <c r="H265" s="490"/>
      <c r="I265" s="492"/>
      <c r="J265" s="492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5"/>
      <c r="W265" s="527"/>
      <c r="X265" s="452"/>
      <c r="Y265" s="452"/>
      <c r="Z265" s="452"/>
    </row>
    <row r="266" ht="18.75" customHeight="1">
      <c r="A266" s="452"/>
      <c r="B266" s="490"/>
      <c r="C266" s="490"/>
      <c r="D266" s="490"/>
      <c r="E266" s="490"/>
      <c r="F266" s="491"/>
      <c r="G266" s="491"/>
      <c r="H266" s="490"/>
      <c r="I266" s="492"/>
      <c r="J266" s="492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5"/>
      <c r="W266" s="527"/>
      <c r="X266" s="452"/>
      <c r="Y266" s="452"/>
      <c r="Z266" s="452"/>
    </row>
    <row r="267" ht="18.75" customHeight="1">
      <c r="A267" s="452"/>
      <c r="B267" s="490"/>
      <c r="C267" s="490"/>
      <c r="D267" s="490"/>
      <c r="E267" s="490"/>
      <c r="F267" s="491"/>
      <c r="G267" s="491"/>
      <c r="H267" s="490"/>
      <c r="I267" s="492"/>
      <c r="J267" s="492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5"/>
      <c r="W267" s="527"/>
      <c r="X267" s="452"/>
      <c r="Y267" s="452"/>
      <c r="Z267" s="452"/>
    </row>
    <row r="268" ht="18.75" customHeight="1">
      <c r="A268" s="452"/>
      <c r="B268" s="490"/>
      <c r="C268" s="490"/>
      <c r="D268" s="490"/>
      <c r="E268" s="490"/>
      <c r="F268" s="491"/>
      <c r="G268" s="491"/>
      <c r="H268" s="490"/>
      <c r="I268" s="492"/>
      <c r="J268" s="492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527"/>
      <c r="X268" s="452"/>
      <c r="Y268" s="452"/>
      <c r="Z268" s="452"/>
    </row>
    <row r="269" ht="18.75" customHeight="1">
      <c r="A269" s="452"/>
      <c r="B269" s="490"/>
      <c r="C269" s="490"/>
      <c r="D269" s="490"/>
      <c r="E269" s="490"/>
      <c r="F269" s="491"/>
      <c r="G269" s="491"/>
      <c r="H269" s="490"/>
      <c r="I269" s="492"/>
      <c r="J269" s="492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527"/>
      <c r="X269" s="452"/>
      <c r="Y269" s="452"/>
      <c r="Z269" s="452"/>
    </row>
    <row r="270" ht="18.75" customHeight="1">
      <c r="A270" s="452"/>
      <c r="B270" s="490"/>
      <c r="C270" s="490"/>
      <c r="D270" s="490"/>
      <c r="E270" s="490"/>
      <c r="F270" s="491"/>
      <c r="G270" s="491"/>
      <c r="H270" s="490"/>
      <c r="I270" s="492"/>
      <c r="J270" s="492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527"/>
      <c r="X270" s="452"/>
      <c r="Y270" s="452"/>
      <c r="Z270" s="452"/>
    </row>
    <row r="271" ht="18.75" customHeight="1">
      <c r="A271" s="452"/>
      <c r="B271" s="490"/>
      <c r="C271" s="490"/>
      <c r="D271" s="490"/>
      <c r="E271" s="490"/>
      <c r="F271" s="491"/>
      <c r="G271" s="491"/>
      <c r="H271" s="490"/>
      <c r="I271" s="492"/>
      <c r="J271" s="492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527"/>
      <c r="X271" s="452"/>
      <c r="Y271" s="452"/>
      <c r="Z271" s="452"/>
    </row>
    <row r="272" ht="18.75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527"/>
      <c r="X272" s="452"/>
      <c r="Y272" s="452"/>
      <c r="Z272" s="452"/>
    </row>
    <row r="273" ht="18.75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527"/>
      <c r="X273" s="452"/>
      <c r="Y273" s="452"/>
      <c r="Z273" s="452"/>
    </row>
    <row r="274" ht="18.75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527"/>
      <c r="X274" s="452"/>
      <c r="Y274" s="452"/>
      <c r="Z274" s="452"/>
    </row>
    <row r="275" ht="18.75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527"/>
      <c r="X275" s="452"/>
      <c r="Y275" s="452"/>
      <c r="Z275" s="452"/>
    </row>
    <row r="276" ht="18.75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527"/>
      <c r="X276" s="452"/>
      <c r="Y276" s="452"/>
      <c r="Z276" s="452"/>
    </row>
    <row r="277" ht="18.75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527"/>
      <c r="X277" s="452"/>
      <c r="Y277" s="452"/>
      <c r="Z277" s="452"/>
    </row>
    <row r="278" ht="18.75" customHeight="1">
      <c r="A278" s="343"/>
      <c r="B278" s="455"/>
      <c r="C278" s="455"/>
      <c r="D278" s="455"/>
      <c r="E278" s="455"/>
      <c r="F278" s="493"/>
      <c r="G278" s="493"/>
      <c r="H278" s="472"/>
      <c r="I278" s="472"/>
      <c r="J278" s="472"/>
      <c r="K278" s="454"/>
      <c r="L278" s="454"/>
      <c r="M278" s="454"/>
      <c r="N278" s="454"/>
      <c r="O278" s="454"/>
      <c r="P278" s="454"/>
      <c r="Q278" s="454"/>
      <c r="R278" s="343"/>
      <c r="S278" s="343"/>
      <c r="T278" s="343"/>
      <c r="U278" s="343"/>
      <c r="V278" s="343"/>
      <c r="W278" s="537"/>
      <c r="X278" s="343"/>
      <c r="Y278" s="343"/>
      <c r="Z278" s="343"/>
    </row>
    <row r="279" ht="18.75" customHeight="1">
      <c r="A279" s="343"/>
      <c r="B279" s="455"/>
      <c r="C279" s="455"/>
      <c r="D279" s="455"/>
      <c r="E279" s="455"/>
      <c r="F279" s="494"/>
      <c r="G279" s="494"/>
      <c r="H279" s="455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537"/>
      <c r="X279" s="343"/>
      <c r="Y279" s="343"/>
      <c r="Z279" s="343"/>
    </row>
    <row r="280" ht="18.75" customHeight="1">
      <c r="A280" s="343"/>
      <c r="B280" s="343"/>
      <c r="C280" s="343"/>
      <c r="D280" s="343"/>
      <c r="E280" s="343"/>
      <c r="F280" s="495"/>
      <c r="G280" s="495"/>
      <c r="H280" s="343"/>
      <c r="I280" s="343"/>
      <c r="J280" s="343"/>
      <c r="K280" s="343"/>
      <c r="L280" s="343"/>
      <c r="M280" s="343"/>
      <c r="N280" s="343"/>
      <c r="O280" s="343"/>
      <c r="P280" s="343"/>
      <c r="Q280" s="343"/>
      <c r="R280" s="343"/>
      <c r="S280" s="343"/>
      <c r="T280" s="343"/>
      <c r="U280" s="343"/>
      <c r="V280" s="343"/>
      <c r="W280" s="537"/>
      <c r="X280" s="343"/>
      <c r="Y280" s="343"/>
      <c r="Z280" s="343"/>
    </row>
    <row r="281" ht="18.75" customHeight="1">
      <c r="A281" s="343"/>
      <c r="B281" s="343"/>
      <c r="C281" s="343"/>
      <c r="D281" s="343"/>
      <c r="E281" s="343"/>
      <c r="F281" s="495"/>
      <c r="G281" s="495"/>
      <c r="H281" s="343"/>
      <c r="I281" s="343"/>
      <c r="J281" s="343"/>
      <c r="K281" s="343"/>
      <c r="L281" s="343"/>
      <c r="M281" s="343"/>
      <c r="N281" s="343"/>
      <c r="O281" s="343"/>
      <c r="P281" s="343"/>
      <c r="Q281" s="343"/>
      <c r="R281" s="343"/>
      <c r="S281" s="343"/>
      <c r="T281" s="343"/>
      <c r="U281" s="343"/>
      <c r="V281" s="343"/>
      <c r="W281" s="537"/>
      <c r="X281" s="343"/>
      <c r="Y281" s="343"/>
      <c r="Z281" s="343"/>
    </row>
    <row r="282" ht="18.75" customHeight="1">
      <c r="A282" s="343"/>
      <c r="B282" s="343"/>
      <c r="C282" s="343"/>
      <c r="D282" s="343"/>
      <c r="E282" s="343"/>
      <c r="F282" s="495"/>
      <c r="G282" s="495"/>
      <c r="H282" s="343"/>
      <c r="I282" s="343"/>
      <c r="J282" s="343"/>
      <c r="K282" s="343"/>
      <c r="L282" s="343"/>
      <c r="M282" s="343"/>
      <c r="N282" s="343"/>
      <c r="O282" s="343"/>
      <c r="P282" s="343"/>
      <c r="Q282" s="343"/>
      <c r="R282" s="343"/>
      <c r="S282" s="343"/>
      <c r="T282" s="343"/>
      <c r="U282" s="343"/>
      <c r="V282" s="343"/>
      <c r="W282" s="537"/>
      <c r="X282" s="343"/>
      <c r="Y282" s="343"/>
      <c r="Z282" s="343"/>
    </row>
    <row r="283" ht="18.75" customHeight="1">
      <c r="A283" s="139"/>
      <c r="B283" s="343"/>
      <c r="C283" s="343"/>
      <c r="D283" s="343"/>
      <c r="E283" s="343"/>
      <c r="F283" s="495"/>
      <c r="G283" s="495"/>
      <c r="H283" s="343"/>
      <c r="I283" s="343"/>
      <c r="J283" s="343"/>
      <c r="K283" s="343"/>
      <c r="L283" s="343"/>
      <c r="M283" s="343"/>
      <c r="N283" s="343"/>
      <c r="O283" s="343"/>
      <c r="P283" s="343"/>
      <c r="Q283" s="343"/>
      <c r="R283" s="343"/>
      <c r="S283" s="343"/>
      <c r="T283" s="343"/>
      <c r="U283" s="343"/>
      <c r="V283" s="343"/>
      <c r="W283" s="537"/>
      <c r="X283" s="343"/>
      <c r="Y283" s="343"/>
      <c r="Z283" s="343"/>
    </row>
    <row r="284" ht="18.75" customHeight="1">
      <c r="A284" s="343"/>
      <c r="B284" s="343"/>
      <c r="C284" s="343"/>
      <c r="D284" s="343"/>
      <c r="E284" s="343"/>
      <c r="F284" s="495"/>
      <c r="G284" s="495"/>
      <c r="H284" s="343"/>
      <c r="I284" s="343"/>
      <c r="J284" s="343"/>
      <c r="K284" s="343"/>
      <c r="L284" s="343"/>
      <c r="M284" s="343"/>
      <c r="N284" s="343"/>
      <c r="O284" s="343"/>
      <c r="P284" s="343"/>
      <c r="Q284" s="343"/>
      <c r="R284" s="343"/>
      <c r="S284" s="343"/>
      <c r="T284" s="343"/>
      <c r="U284" s="343"/>
      <c r="V284" s="343"/>
      <c r="W284" s="537"/>
      <c r="X284" s="343"/>
      <c r="Y284" s="343"/>
      <c r="Z284" s="343"/>
    </row>
    <row r="285" ht="18.75" customHeight="1">
      <c r="A285" s="343"/>
      <c r="B285" s="472"/>
      <c r="C285" s="496"/>
      <c r="D285" s="496"/>
      <c r="E285" s="496"/>
      <c r="F285" s="497"/>
      <c r="G285" s="497"/>
      <c r="H285" s="472"/>
      <c r="I285" s="472"/>
      <c r="J285" s="472"/>
      <c r="K285" s="343"/>
      <c r="L285" s="343"/>
      <c r="M285" s="343"/>
      <c r="N285" s="343"/>
      <c r="O285" s="343"/>
      <c r="P285" s="343"/>
      <c r="Q285" s="343"/>
      <c r="R285" s="343"/>
      <c r="S285" s="343"/>
      <c r="T285" s="343"/>
      <c r="U285" s="343"/>
      <c r="V285" s="343"/>
      <c r="W285" s="537"/>
      <c r="X285" s="343"/>
      <c r="Y285" s="343"/>
      <c r="Z285" s="343"/>
    </row>
    <row r="286" ht="18.75" customHeight="1">
      <c r="A286" s="498"/>
      <c r="B286" s="453"/>
      <c r="C286" s="453"/>
      <c r="D286" s="453"/>
      <c r="E286" s="453"/>
      <c r="F286" s="460"/>
      <c r="G286" s="460"/>
      <c r="H286" s="453"/>
      <c r="I286" s="466"/>
      <c r="J286" s="466"/>
      <c r="K286" s="343"/>
      <c r="L286" s="343"/>
      <c r="M286" s="343"/>
      <c r="N286" s="343"/>
      <c r="O286" s="499"/>
      <c r="P286" s="499"/>
      <c r="Q286" s="499"/>
      <c r="R286" s="343"/>
      <c r="S286" s="343"/>
      <c r="T286" s="343"/>
      <c r="U286" s="343"/>
      <c r="V286" s="343"/>
      <c r="W286" s="537"/>
      <c r="X286" s="343"/>
      <c r="Y286" s="343"/>
      <c r="Z286" s="343"/>
    </row>
    <row r="287" ht="18.75" customHeight="1">
      <c r="A287" s="498"/>
      <c r="B287" s="453"/>
      <c r="C287" s="453"/>
      <c r="D287" s="453"/>
      <c r="E287" s="453"/>
      <c r="F287" s="460"/>
      <c r="G287" s="460"/>
      <c r="H287" s="453"/>
      <c r="I287" s="466"/>
      <c r="J287" s="466"/>
      <c r="K287" s="343"/>
      <c r="L287" s="343"/>
      <c r="M287" s="343"/>
      <c r="N287" s="343"/>
      <c r="O287" s="499"/>
      <c r="P287" s="499"/>
      <c r="Q287" s="499"/>
      <c r="R287" s="343"/>
      <c r="S287" s="343"/>
      <c r="T287" s="343"/>
      <c r="U287" s="343"/>
      <c r="V287" s="343"/>
      <c r="W287" s="537"/>
      <c r="X287" s="490"/>
      <c r="Y287" s="490"/>
      <c r="Z287" s="343"/>
    </row>
    <row r="288" ht="18.75" customHeight="1">
      <c r="A288" s="498"/>
      <c r="B288" s="453"/>
      <c r="C288" s="453"/>
      <c r="D288" s="453"/>
      <c r="E288" s="453"/>
      <c r="F288" s="460"/>
      <c r="G288" s="460"/>
      <c r="H288" s="453"/>
      <c r="I288" s="466"/>
      <c r="J288" s="466"/>
      <c r="K288" s="343"/>
      <c r="L288" s="343"/>
      <c r="M288" s="343"/>
      <c r="N288" s="343"/>
      <c r="O288" s="499"/>
      <c r="P288" s="499"/>
      <c r="Q288" s="499"/>
      <c r="R288" s="343"/>
      <c r="S288" s="343"/>
      <c r="T288" s="343"/>
      <c r="U288" s="343"/>
      <c r="V288" s="343"/>
      <c r="W288" s="537"/>
      <c r="X288" s="490"/>
      <c r="Y288" s="490"/>
      <c r="Z288" s="343"/>
    </row>
    <row r="289" ht="18.75" customHeight="1">
      <c r="A289" s="498"/>
      <c r="B289" s="453"/>
      <c r="C289" s="453"/>
      <c r="D289" s="453"/>
      <c r="E289" s="453"/>
      <c r="F289" s="460"/>
      <c r="G289" s="460"/>
      <c r="H289" s="453"/>
      <c r="I289" s="466"/>
      <c r="J289" s="466"/>
      <c r="K289" s="343"/>
      <c r="L289" s="343"/>
      <c r="M289" s="343"/>
      <c r="N289" s="343"/>
      <c r="O289" s="499"/>
      <c r="P289" s="499"/>
      <c r="Q289" s="499"/>
      <c r="R289" s="343"/>
      <c r="S289" s="343"/>
      <c r="T289" s="343"/>
      <c r="U289" s="343"/>
      <c r="V289" s="343"/>
      <c r="W289" s="537"/>
      <c r="X289" s="490"/>
      <c r="Y289" s="490"/>
      <c r="Z289" s="343"/>
    </row>
    <row r="290" ht="18.75" customHeight="1">
      <c r="A290" s="498"/>
      <c r="B290" s="453"/>
      <c r="C290" s="453"/>
      <c r="D290" s="453"/>
      <c r="E290" s="453"/>
      <c r="F290" s="460"/>
      <c r="G290" s="460"/>
      <c r="H290" s="453"/>
      <c r="I290" s="466"/>
      <c r="J290" s="466"/>
      <c r="K290" s="343"/>
      <c r="L290" s="343"/>
      <c r="M290" s="343"/>
      <c r="N290" s="343"/>
      <c r="O290" s="499"/>
      <c r="P290" s="499"/>
      <c r="Q290" s="499"/>
      <c r="R290" s="343"/>
      <c r="S290" s="343"/>
      <c r="T290" s="343"/>
      <c r="U290" s="343"/>
      <c r="V290" s="343"/>
      <c r="W290" s="537"/>
      <c r="X290" s="343"/>
      <c r="Y290" s="343"/>
      <c r="Z290" s="343"/>
    </row>
    <row r="291" ht="18.75" customHeight="1">
      <c r="A291" s="498"/>
      <c r="B291" s="453"/>
      <c r="C291" s="453"/>
      <c r="D291" s="453"/>
      <c r="E291" s="453"/>
      <c r="F291" s="460"/>
      <c r="G291" s="460"/>
      <c r="H291" s="453"/>
      <c r="I291" s="466"/>
      <c r="J291" s="466"/>
      <c r="K291" s="343"/>
      <c r="L291" s="343"/>
      <c r="M291" s="343"/>
      <c r="N291" s="343"/>
      <c r="O291" s="499"/>
      <c r="P291" s="499"/>
      <c r="Q291" s="499"/>
      <c r="R291" s="343"/>
      <c r="S291" s="343"/>
      <c r="T291" s="343"/>
      <c r="U291" s="343"/>
      <c r="V291" s="343"/>
      <c r="W291" s="537"/>
      <c r="X291" s="343"/>
      <c r="Y291" s="343"/>
      <c r="Z291" s="343"/>
    </row>
    <row r="292" ht="18.75" customHeight="1">
      <c r="A292" s="498"/>
      <c r="B292" s="453"/>
      <c r="C292" s="453"/>
      <c r="D292" s="453"/>
      <c r="E292" s="453"/>
      <c r="F292" s="460"/>
      <c r="G292" s="460"/>
      <c r="H292" s="453"/>
      <c r="I292" s="466"/>
      <c r="J292" s="466"/>
      <c r="K292" s="343"/>
      <c r="L292" s="343"/>
      <c r="M292" s="343"/>
      <c r="N292" s="343"/>
      <c r="O292" s="499"/>
      <c r="P292" s="499"/>
      <c r="Q292" s="499"/>
      <c r="R292" s="343"/>
      <c r="S292" s="343"/>
      <c r="T292" s="343"/>
      <c r="U292" s="343"/>
      <c r="V292" s="343"/>
      <c r="W292" s="537"/>
      <c r="X292" s="343"/>
      <c r="Y292" s="343"/>
      <c r="Z292" s="343"/>
    </row>
    <row r="293" ht="18.75" customHeight="1">
      <c r="A293" s="498"/>
      <c r="B293" s="453"/>
      <c r="C293" s="453"/>
      <c r="D293" s="453"/>
      <c r="E293" s="453"/>
      <c r="F293" s="460"/>
      <c r="G293" s="460"/>
      <c r="H293" s="453"/>
      <c r="I293" s="466"/>
      <c r="J293" s="466"/>
      <c r="K293" s="343"/>
      <c r="L293" s="343"/>
      <c r="M293" s="343"/>
      <c r="N293" s="343"/>
      <c r="O293" s="499"/>
      <c r="P293" s="499"/>
      <c r="Q293" s="499"/>
      <c r="R293" s="343"/>
      <c r="S293" s="343"/>
      <c r="T293" s="343"/>
      <c r="U293" s="343"/>
      <c r="V293" s="343"/>
      <c r="W293" s="537"/>
      <c r="X293" s="343"/>
      <c r="Y293" s="343"/>
      <c r="Z293" s="343"/>
    </row>
    <row r="294" ht="18.75" customHeight="1">
      <c r="A294" s="498"/>
      <c r="B294" s="453"/>
      <c r="C294" s="453"/>
      <c r="D294" s="453"/>
      <c r="E294" s="453"/>
      <c r="F294" s="460"/>
      <c r="G294" s="460"/>
      <c r="H294" s="453"/>
      <c r="I294" s="466"/>
      <c r="J294" s="466"/>
      <c r="K294" s="343"/>
      <c r="L294" s="343"/>
      <c r="M294" s="343"/>
      <c r="N294" s="343"/>
      <c r="O294" s="499"/>
      <c r="P294" s="499"/>
      <c r="Q294" s="499"/>
      <c r="R294" s="343"/>
      <c r="S294" s="343"/>
      <c r="T294" s="343"/>
      <c r="U294" s="343"/>
      <c r="V294" s="343"/>
      <c r="W294" s="537"/>
      <c r="X294" s="343"/>
      <c r="Y294" s="343"/>
      <c r="Z294" s="343"/>
    </row>
    <row r="295" ht="18.75" customHeight="1">
      <c r="A295" s="498"/>
      <c r="B295" s="453"/>
      <c r="C295" s="453"/>
      <c r="D295" s="453"/>
      <c r="E295" s="453"/>
      <c r="F295" s="460"/>
      <c r="G295" s="460"/>
      <c r="H295" s="453"/>
      <c r="I295" s="466"/>
      <c r="J295" s="466"/>
      <c r="K295" s="343"/>
      <c r="L295" s="343"/>
      <c r="M295" s="343"/>
      <c r="N295" s="343"/>
      <c r="O295" s="343"/>
      <c r="P295" s="343"/>
      <c r="Q295" s="343"/>
      <c r="R295" s="343"/>
      <c r="S295" s="343"/>
      <c r="T295" s="343"/>
      <c r="U295" s="343"/>
      <c r="V295" s="343"/>
      <c r="W295" s="538"/>
      <c r="X295" s="343"/>
      <c r="Y295" s="343"/>
      <c r="Z295" s="343"/>
    </row>
    <row r="296" ht="18.75" customHeight="1">
      <c r="A296" s="498"/>
      <c r="B296" s="343"/>
      <c r="C296" s="343"/>
      <c r="D296" s="343"/>
      <c r="E296" s="343"/>
      <c r="F296" s="497"/>
      <c r="G296" s="497"/>
      <c r="H296" s="343"/>
      <c r="I296" s="501"/>
      <c r="J296" s="501"/>
      <c r="K296" s="343"/>
      <c r="L296" s="343"/>
      <c r="M296" s="343"/>
      <c r="N296" s="343"/>
      <c r="O296" s="343"/>
      <c r="P296" s="343"/>
      <c r="Q296" s="343"/>
      <c r="R296" s="343"/>
      <c r="S296" s="343"/>
      <c r="T296" s="343"/>
      <c r="U296" s="343"/>
      <c r="V296" s="343"/>
      <c r="W296" s="538"/>
      <c r="X296" s="343"/>
      <c r="Y296" s="343"/>
      <c r="Z296" s="343"/>
    </row>
    <row r="297" ht="18.75" customHeight="1">
      <c r="A297" s="343"/>
      <c r="B297" s="343"/>
      <c r="C297" s="343"/>
      <c r="D297" s="343"/>
      <c r="E297" s="343"/>
      <c r="F297" s="495"/>
      <c r="G297" s="495"/>
      <c r="H297" s="343"/>
      <c r="I297" s="343"/>
      <c r="J297" s="343"/>
      <c r="K297" s="343"/>
      <c r="L297" s="343"/>
      <c r="M297" s="343"/>
      <c r="N297" s="343"/>
      <c r="O297" s="343"/>
      <c r="P297" s="343"/>
      <c r="Q297" s="343"/>
      <c r="R297" s="343"/>
      <c r="S297" s="343"/>
      <c r="T297" s="343"/>
      <c r="U297" s="343"/>
      <c r="V297" s="343"/>
      <c r="W297" s="538"/>
      <c r="X297" s="343"/>
      <c r="Y297" s="343"/>
      <c r="Z297" s="343"/>
    </row>
    <row r="298" ht="18.75" customHeight="1">
      <c r="A298" s="343"/>
      <c r="B298" s="343"/>
      <c r="C298" s="343"/>
      <c r="D298" s="343"/>
      <c r="E298" s="343"/>
      <c r="F298" s="495"/>
      <c r="G298" s="495"/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538"/>
      <c r="X298" s="343"/>
      <c r="Y298" s="343"/>
      <c r="Z298" s="343"/>
    </row>
    <row r="299" ht="18.75" customHeight="1">
      <c r="A299" s="343"/>
      <c r="B299" s="343"/>
      <c r="C299" s="343"/>
      <c r="D299" s="343"/>
      <c r="E299" s="343"/>
      <c r="F299" s="495"/>
      <c r="G299" s="495"/>
      <c r="H299" s="343"/>
      <c r="I299" s="343"/>
      <c r="J299" s="343"/>
      <c r="K299" s="343"/>
      <c r="L299" s="343"/>
      <c r="M299" s="343"/>
      <c r="N299" s="343"/>
      <c r="O299" s="343"/>
      <c r="P299" s="343"/>
      <c r="Q299" s="343"/>
      <c r="R299" s="343"/>
      <c r="S299" s="343"/>
      <c r="T299" s="343"/>
      <c r="U299" s="343"/>
      <c r="V299" s="343"/>
      <c r="W299" s="538"/>
      <c r="X299" s="343"/>
      <c r="Y299" s="343"/>
      <c r="Z299" s="343"/>
    </row>
    <row r="300" ht="18.75" customHeight="1">
      <c r="A300" s="139"/>
      <c r="B300" s="343"/>
      <c r="C300" s="343"/>
      <c r="D300" s="343"/>
      <c r="E300" s="343"/>
      <c r="F300" s="495"/>
      <c r="G300" s="495"/>
      <c r="H300" s="343"/>
      <c r="I300" s="343"/>
      <c r="J300" s="343"/>
      <c r="K300" s="343"/>
      <c r="L300" s="343"/>
      <c r="M300" s="343"/>
      <c r="N300" s="343"/>
      <c r="O300" s="343"/>
      <c r="P300" s="343"/>
      <c r="Q300" s="343"/>
      <c r="R300" s="343"/>
      <c r="S300" s="343"/>
      <c r="T300" s="343"/>
      <c r="U300" s="343"/>
      <c r="V300" s="343"/>
      <c r="W300" s="538"/>
      <c r="X300" s="343"/>
      <c r="Y300" s="343"/>
      <c r="Z300" s="343"/>
    </row>
    <row r="301" ht="18.75" customHeight="1">
      <c r="A301" s="343"/>
      <c r="B301" s="343"/>
      <c r="C301" s="343"/>
      <c r="D301" s="343"/>
      <c r="E301" s="343"/>
      <c r="F301" s="495"/>
      <c r="G301" s="495"/>
      <c r="H301" s="343"/>
      <c r="I301" s="343"/>
      <c r="J301" s="343"/>
      <c r="K301" s="343"/>
      <c r="L301" s="343"/>
      <c r="M301" s="343"/>
      <c r="N301" s="343"/>
      <c r="O301" s="343"/>
      <c r="P301" s="343"/>
      <c r="Q301" s="343"/>
      <c r="R301" s="343"/>
      <c r="S301" s="343"/>
      <c r="T301" s="343"/>
      <c r="U301" s="343"/>
      <c r="V301" s="343"/>
      <c r="W301" s="538"/>
      <c r="X301" s="343"/>
      <c r="Y301" s="343"/>
      <c r="Z301" s="343"/>
    </row>
    <row r="302" ht="18.75" customHeight="1">
      <c r="A302" s="343"/>
      <c r="B302" s="472"/>
      <c r="C302" s="496"/>
      <c r="D302" s="496"/>
      <c r="E302" s="496"/>
      <c r="F302" s="497"/>
      <c r="G302" s="497"/>
      <c r="H302" s="472"/>
      <c r="I302" s="472"/>
      <c r="J302" s="472"/>
      <c r="K302" s="343"/>
      <c r="L302" s="343"/>
      <c r="M302" s="343"/>
      <c r="N302" s="343"/>
      <c r="O302" s="343"/>
      <c r="P302" s="343"/>
      <c r="Q302" s="343"/>
      <c r="R302" s="343"/>
      <c r="S302" s="343"/>
      <c r="T302" s="343"/>
      <c r="U302" s="343"/>
      <c r="V302" s="343"/>
      <c r="W302" s="538"/>
      <c r="X302" s="343"/>
      <c r="Y302" s="343"/>
      <c r="Z302" s="343"/>
    </row>
    <row r="303" ht="18.75" customHeight="1">
      <c r="A303" s="498"/>
      <c r="B303" s="502"/>
      <c r="C303" s="501"/>
      <c r="D303" s="501"/>
      <c r="E303" s="501"/>
      <c r="F303" s="503"/>
      <c r="G303" s="503"/>
      <c r="H303" s="501"/>
      <c r="I303" s="501"/>
      <c r="J303" s="501"/>
      <c r="K303" s="343"/>
      <c r="L303" s="343"/>
      <c r="M303" s="343"/>
      <c r="N303" s="343"/>
      <c r="O303" s="343"/>
      <c r="P303" s="343"/>
      <c r="Q303" s="343"/>
      <c r="R303" s="343"/>
      <c r="S303" s="343"/>
      <c r="T303" s="343"/>
      <c r="U303" s="343"/>
      <c r="V303" s="343"/>
      <c r="W303" s="538"/>
      <c r="X303" s="343"/>
      <c r="Y303" s="343"/>
      <c r="Z303" s="343"/>
    </row>
    <row r="304" ht="18.75" customHeight="1">
      <c r="A304" s="498"/>
      <c r="B304" s="502"/>
      <c r="C304" s="501"/>
      <c r="D304" s="501"/>
      <c r="E304" s="501"/>
      <c r="F304" s="503"/>
      <c r="G304" s="503"/>
      <c r="H304" s="501"/>
      <c r="I304" s="501"/>
      <c r="J304" s="501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538"/>
      <c r="X304" s="343"/>
      <c r="Y304" s="343"/>
      <c r="Z304" s="343"/>
    </row>
    <row r="305" ht="18.75" customHeight="1">
      <c r="A305" s="498"/>
      <c r="B305" s="502"/>
      <c r="C305" s="501"/>
      <c r="D305" s="501"/>
      <c r="E305" s="501"/>
      <c r="F305" s="503"/>
      <c r="G305" s="503"/>
      <c r="H305" s="501"/>
      <c r="I305" s="501"/>
      <c r="J305" s="501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538"/>
      <c r="X305" s="343"/>
      <c r="Y305" s="343"/>
      <c r="Z305" s="343"/>
    </row>
    <row r="306" ht="18.75" customHeight="1">
      <c r="A306" s="498"/>
      <c r="B306" s="502"/>
      <c r="C306" s="501"/>
      <c r="D306" s="501"/>
      <c r="E306" s="501"/>
      <c r="F306" s="504"/>
      <c r="G306" s="504"/>
      <c r="H306" s="501"/>
      <c r="I306" s="501"/>
      <c r="J306" s="501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539"/>
      <c r="X306" s="343"/>
      <c r="Y306" s="343"/>
      <c r="Z306" s="343"/>
    </row>
    <row r="307" ht="18.75" customHeight="1">
      <c r="A307" s="498"/>
      <c r="B307" s="502"/>
      <c r="C307" s="501"/>
      <c r="D307" s="501"/>
      <c r="E307" s="501"/>
      <c r="F307" s="504"/>
      <c r="G307" s="504"/>
      <c r="H307" s="501"/>
      <c r="I307" s="501"/>
      <c r="J307" s="501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538"/>
      <c r="X307" s="343"/>
      <c r="Y307" s="343"/>
      <c r="Z307" s="343"/>
    </row>
    <row r="308" ht="18.75" customHeight="1">
      <c r="A308" s="498"/>
      <c r="B308" s="502"/>
      <c r="C308" s="505"/>
      <c r="D308" s="501"/>
      <c r="E308" s="501"/>
      <c r="F308" s="504"/>
      <c r="G308" s="504"/>
      <c r="H308" s="501"/>
      <c r="I308" s="501"/>
      <c r="J308" s="501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538"/>
      <c r="X308" s="343"/>
      <c r="Y308" s="343"/>
      <c r="Z308" s="343"/>
    </row>
    <row r="309" ht="18.75" customHeight="1">
      <c r="A309" s="343"/>
      <c r="B309" s="343"/>
      <c r="C309" s="343"/>
      <c r="D309" s="343"/>
      <c r="E309" s="343"/>
      <c r="F309" s="497"/>
      <c r="G309" s="497"/>
      <c r="H309" s="343"/>
      <c r="I309" s="501"/>
      <c r="J309" s="501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538"/>
      <c r="X309" s="343"/>
      <c r="Y309" s="343"/>
      <c r="Z309" s="343"/>
    </row>
    <row r="310" ht="18.75" customHeight="1">
      <c r="A310" s="343"/>
      <c r="B310" s="343"/>
      <c r="C310" s="343"/>
      <c r="D310" s="343"/>
      <c r="E310" s="343"/>
      <c r="F310" s="495"/>
      <c r="G310" s="495"/>
      <c r="H310" s="343"/>
      <c r="I310" s="343"/>
      <c r="J310" s="343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538"/>
      <c r="X310" s="343"/>
      <c r="Y310" s="343"/>
      <c r="Z310" s="343"/>
    </row>
    <row r="311" ht="18.75" customHeight="1">
      <c r="A311" s="343"/>
      <c r="B311" s="343"/>
      <c r="C311" s="343"/>
      <c r="D311" s="343"/>
      <c r="E311" s="343"/>
      <c r="F311" s="495"/>
      <c r="G311" s="495"/>
      <c r="H311" s="343"/>
      <c r="I311" s="343"/>
      <c r="J311" s="343"/>
      <c r="K311" s="343"/>
      <c r="L311" s="343"/>
      <c r="M311" s="343"/>
      <c r="N311" s="343"/>
      <c r="O311" s="343"/>
      <c r="P311" s="343"/>
      <c r="Q311" s="343"/>
      <c r="R311" s="343"/>
      <c r="S311" s="343"/>
      <c r="T311" s="343"/>
      <c r="U311" s="343"/>
      <c r="V311" s="343"/>
      <c r="W311" s="538"/>
      <c r="X311" s="343"/>
      <c r="Y311" s="343"/>
      <c r="Z311" s="343"/>
    </row>
    <row r="312" ht="18.75" customHeight="1">
      <c r="A312" s="343"/>
      <c r="B312" s="343"/>
      <c r="C312" s="343"/>
      <c r="D312" s="343"/>
      <c r="E312" s="343"/>
      <c r="F312" s="495"/>
      <c r="G312" s="495"/>
      <c r="H312" s="343"/>
      <c r="I312" s="343"/>
      <c r="J312" s="343"/>
      <c r="K312" s="343"/>
      <c r="L312" s="343"/>
      <c r="M312" s="343"/>
      <c r="N312" s="343"/>
      <c r="O312" s="343"/>
      <c r="P312" s="343"/>
      <c r="Q312" s="343"/>
      <c r="R312" s="343"/>
      <c r="S312" s="343"/>
      <c r="T312" s="343"/>
      <c r="U312" s="343"/>
      <c r="V312" s="343"/>
      <c r="W312" s="538"/>
      <c r="X312" s="343"/>
      <c r="Y312" s="343"/>
      <c r="Z312" s="343"/>
    </row>
    <row r="313" ht="18.75" customHeight="1">
      <c r="A313" s="506"/>
      <c r="B313" s="343"/>
      <c r="C313" s="343"/>
      <c r="D313" s="343"/>
      <c r="E313" s="343"/>
      <c r="F313" s="495"/>
      <c r="G313" s="495"/>
      <c r="H313" s="343"/>
      <c r="I313" s="343"/>
      <c r="J313" s="343"/>
      <c r="K313" s="343"/>
      <c r="L313" s="343"/>
      <c r="M313" s="343"/>
      <c r="N313" s="343"/>
      <c r="O313" s="343"/>
      <c r="P313" s="343"/>
      <c r="Q313" s="343"/>
      <c r="R313" s="343"/>
      <c r="S313" s="343"/>
      <c r="T313" s="343"/>
      <c r="U313" s="343"/>
      <c r="V313" s="343"/>
      <c r="W313" s="538"/>
      <c r="X313" s="343"/>
      <c r="Y313" s="343"/>
      <c r="Z313" s="343"/>
    </row>
    <row r="314" ht="18.75" customHeight="1">
      <c r="A314" s="507"/>
      <c r="B314" s="453"/>
      <c r="C314" s="453"/>
      <c r="D314" s="453"/>
      <c r="E314" s="453"/>
      <c r="F314" s="508"/>
      <c r="G314" s="508"/>
      <c r="H314" s="453"/>
      <c r="I314" s="507"/>
      <c r="J314" s="507"/>
      <c r="K314" s="507"/>
      <c r="L314" s="507"/>
      <c r="M314" s="507"/>
      <c r="N314" s="507"/>
      <c r="O314" s="507"/>
      <c r="P314" s="507"/>
      <c r="Q314" s="507"/>
      <c r="R314" s="507"/>
      <c r="S314" s="507"/>
      <c r="T314" s="507"/>
      <c r="U314" s="507"/>
      <c r="V314" s="507"/>
      <c r="W314" s="538"/>
      <c r="X314" s="507"/>
      <c r="Y314" s="507"/>
      <c r="Z314" s="507"/>
    </row>
    <row r="315" ht="18.75" customHeight="1">
      <c r="A315" s="472"/>
      <c r="B315" s="472"/>
      <c r="C315" s="472"/>
      <c r="D315" s="472"/>
      <c r="E315" s="472"/>
      <c r="F315" s="509"/>
      <c r="G315" s="509"/>
      <c r="H315" s="472"/>
      <c r="I315" s="343"/>
      <c r="J315" s="343"/>
      <c r="K315" s="343"/>
      <c r="L315" s="343"/>
      <c r="M315" s="343"/>
      <c r="N315" s="343"/>
      <c r="O315" s="343"/>
      <c r="P315" s="343"/>
      <c r="Q315" s="343"/>
      <c r="R315" s="343"/>
      <c r="S315" s="343"/>
      <c r="T315" s="343"/>
      <c r="U315" s="343"/>
      <c r="V315" s="343"/>
      <c r="W315" s="538"/>
      <c r="X315" s="343"/>
      <c r="Y315" s="343"/>
      <c r="Z315" s="343"/>
    </row>
    <row r="316" ht="18.75" customHeight="1">
      <c r="A316" s="472"/>
      <c r="B316" s="472"/>
      <c r="C316" s="510"/>
      <c r="D316" s="511"/>
      <c r="E316" s="511"/>
      <c r="F316" s="512"/>
      <c r="G316" s="512"/>
      <c r="H316" s="511"/>
      <c r="I316" s="343"/>
      <c r="J316" s="343"/>
      <c r="K316" s="343"/>
      <c r="L316" s="343"/>
      <c r="M316" s="343"/>
      <c r="N316" s="343"/>
      <c r="O316" s="343"/>
      <c r="P316" s="343"/>
      <c r="Q316" s="343"/>
      <c r="R316" s="343"/>
      <c r="S316" s="343"/>
      <c r="T316" s="343"/>
      <c r="U316" s="343"/>
      <c r="V316" s="343"/>
      <c r="W316" s="538"/>
      <c r="X316" s="343"/>
      <c r="Y316" s="343"/>
      <c r="Z316" s="343"/>
    </row>
    <row r="317" ht="18.75" customHeight="1">
      <c r="A317" s="472"/>
      <c r="B317" s="498"/>
      <c r="C317" s="513"/>
      <c r="D317" s="513"/>
      <c r="E317" s="513"/>
      <c r="F317" s="514"/>
      <c r="G317" s="514"/>
      <c r="H317" s="51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3"/>
      <c r="T317" s="343"/>
      <c r="U317" s="343"/>
      <c r="V317" s="343"/>
      <c r="W317" s="538"/>
      <c r="X317" s="343"/>
      <c r="Y317" s="343"/>
      <c r="Z317" s="343"/>
    </row>
    <row r="318" ht="18.75" customHeight="1">
      <c r="A318" s="343"/>
      <c r="B318" s="343"/>
      <c r="C318" s="343"/>
      <c r="D318" s="454" t="s">
        <v>50</v>
      </c>
      <c r="E318" s="454" t="s">
        <v>48</v>
      </c>
      <c r="F318" s="509">
        <f>+D315+E315+F315+H315</f>
        <v>0</v>
      </c>
      <c r="G318" s="497"/>
      <c r="H318" s="343"/>
      <c r="I318" s="343"/>
      <c r="J318" s="343"/>
      <c r="K318" s="343"/>
      <c r="L318" s="343"/>
      <c r="M318" s="343"/>
      <c r="N318" s="343"/>
      <c r="O318" s="343"/>
      <c r="P318" s="343"/>
      <c r="Q318" s="343"/>
      <c r="R318" s="343"/>
      <c r="S318" s="343"/>
      <c r="T318" s="343"/>
      <c r="U318" s="343"/>
      <c r="V318" s="343"/>
      <c r="W318" s="540"/>
      <c r="X318" s="343"/>
      <c r="Y318" s="343"/>
      <c r="Z318" s="343"/>
    </row>
    <row r="319" ht="18.75" customHeight="1">
      <c r="A319" s="343"/>
      <c r="B319" s="343"/>
      <c r="C319" s="343"/>
      <c r="D319" s="505"/>
      <c r="E319" s="454" t="s">
        <v>49</v>
      </c>
      <c r="F319" s="512" t="str">
        <f>+F318/B315</f>
        <v>#DIV/0!</v>
      </c>
      <c r="G319" s="512"/>
      <c r="H319" s="343"/>
      <c r="I319" s="343"/>
      <c r="J319" s="343"/>
      <c r="K319" s="343"/>
      <c r="L319" s="343"/>
      <c r="M319" s="343"/>
      <c r="N319" s="343"/>
      <c r="O319" s="343"/>
      <c r="P319" s="343"/>
      <c r="Q319" s="343"/>
      <c r="R319" s="343"/>
      <c r="S319" s="343"/>
      <c r="T319" s="343"/>
      <c r="U319" s="343"/>
      <c r="V319" s="343"/>
      <c r="W319" s="540"/>
      <c r="X319" s="343"/>
      <c r="Y319" s="343"/>
      <c r="Z319" s="343"/>
    </row>
    <row r="320" ht="18.75" customHeight="1">
      <c r="A320" s="507"/>
      <c r="B320" s="507"/>
      <c r="C320" s="454" t="s">
        <v>51</v>
      </c>
      <c r="D320" s="507"/>
      <c r="E320" s="507"/>
      <c r="F320" s="515"/>
      <c r="G320" s="515"/>
      <c r="H320" s="507"/>
      <c r="I320" s="343"/>
      <c r="J320" s="343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539"/>
      <c r="X320" s="343"/>
      <c r="Y320" s="343"/>
      <c r="Z320" s="343"/>
    </row>
    <row r="321" ht="18.75" customHeight="1">
      <c r="A321" s="507"/>
      <c r="B321" s="507"/>
      <c r="C321" s="507"/>
      <c r="D321" s="454" t="s">
        <v>52</v>
      </c>
      <c r="E321" s="507"/>
      <c r="F321" s="515">
        <f>+F320*(F318-F315)</f>
        <v>0</v>
      </c>
      <c r="G321" s="515"/>
      <c r="H321" s="507"/>
      <c r="I321" s="343"/>
      <c r="J321" s="343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537"/>
      <c r="X321" s="343"/>
      <c r="Y321" s="343"/>
      <c r="Z321" s="343"/>
    </row>
    <row r="322" ht="18.75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537"/>
      <c r="X322" s="343"/>
      <c r="Y322" s="343"/>
      <c r="Z322" s="343"/>
    </row>
    <row r="323" ht="18.75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537"/>
      <c r="X323" s="343"/>
      <c r="Y323" s="343"/>
      <c r="Z323" s="343"/>
    </row>
    <row r="324" ht="18.75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537"/>
      <c r="X324" s="343"/>
      <c r="Y324" s="343"/>
      <c r="Z324" s="343"/>
    </row>
    <row r="325" ht="18.75" customHeight="1">
      <c r="A325" s="343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537"/>
      <c r="X325" s="343"/>
      <c r="Y325" s="343"/>
      <c r="Z325" s="343"/>
    </row>
    <row r="326" ht="18.75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537"/>
      <c r="X326" s="343"/>
      <c r="Y326" s="343"/>
      <c r="Z326" s="343"/>
    </row>
    <row r="327" ht="18.75" customHeight="1">
      <c r="A327" s="343"/>
      <c r="B327" s="343"/>
      <c r="C327" s="343"/>
      <c r="D327" s="343"/>
      <c r="E327" s="343"/>
      <c r="F327" s="495"/>
      <c r="G327" s="495"/>
      <c r="H327" s="343"/>
      <c r="I327" s="343"/>
      <c r="J327" s="343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537"/>
      <c r="X327" s="343"/>
      <c r="Y327" s="343"/>
      <c r="Z327" s="343"/>
    </row>
    <row r="328" ht="18.75" customHeight="1">
      <c r="A328" s="343"/>
      <c r="B328" s="343"/>
      <c r="C328" s="343"/>
      <c r="D328" s="343"/>
      <c r="E328" s="343"/>
      <c r="F328" s="495"/>
      <c r="G328" s="495"/>
      <c r="H328" s="343"/>
      <c r="I328" s="343"/>
      <c r="J328" s="343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537"/>
      <c r="X328" s="343"/>
      <c r="Y328" s="343"/>
      <c r="Z328" s="343"/>
    </row>
    <row r="329" ht="18.75" customHeight="1">
      <c r="A329" s="343"/>
      <c r="B329" s="343"/>
      <c r="C329" s="343"/>
      <c r="D329" s="343"/>
      <c r="E329" s="343"/>
      <c r="F329" s="495"/>
      <c r="G329" s="495"/>
      <c r="H329" s="343"/>
      <c r="I329" s="343"/>
      <c r="J329" s="343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537"/>
      <c r="X329" s="343"/>
      <c r="Y329" s="343"/>
      <c r="Z329" s="343"/>
    </row>
    <row r="330" ht="18.75" customHeight="1">
      <c r="A330" s="343"/>
      <c r="B330" s="343"/>
      <c r="C330" s="343"/>
      <c r="D330" s="343"/>
      <c r="E330" s="343"/>
      <c r="F330" s="495"/>
      <c r="G330" s="495"/>
      <c r="H330" s="343"/>
      <c r="I330" s="343"/>
      <c r="J330" s="343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537"/>
      <c r="X330" s="343"/>
      <c r="Y330" s="343"/>
      <c r="Z330" s="343"/>
    </row>
    <row r="331" ht="18.75" customHeight="1">
      <c r="A331" s="343"/>
      <c r="B331" s="343"/>
      <c r="C331" s="343"/>
      <c r="D331" s="343"/>
      <c r="E331" s="343"/>
      <c r="F331" s="495"/>
      <c r="G331" s="495"/>
      <c r="H331" s="343"/>
      <c r="I331" s="343"/>
      <c r="J331" s="343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537"/>
      <c r="X331" s="343"/>
      <c r="Y331" s="343"/>
      <c r="Z331" s="343"/>
    </row>
    <row r="332" ht="18.75" customHeight="1">
      <c r="A332" s="343"/>
      <c r="B332" s="343"/>
      <c r="C332" s="343"/>
      <c r="D332" s="343"/>
      <c r="E332" s="343"/>
      <c r="F332" s="495"/>
      <c r="G332" s="495"/>
      <c r="H332" s="343"/>
      <c r="I332" s="343"/>
      <c r="J332" s="343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537"/>
      <c r="X332" s="343"/>
      <c r="Y332" s="343"/>
      <c r="Z332" s="343"/>
    </row>
    <row r="333" ht="18.75" customHeight="1">
      <c r="A333" s="343"/>
      <c r="B333" s="343"/>
      <c r="C333" s="343"/>
      <c r="D333" s="343"/>
      <c r="E333" s="343"/>
      <c r="F333" s="495"/>
      <c r="G333" s="495"/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537"/>
      <c r="X333" s="343"/>
      <c r="Y333" s="343"/>
      <c r="Z333" s="343"/>
    </row>
    <row r="334" ht="18.75" customHeight="1">
      <c r="A334" s="343"/>
      <c r="B334" s="343"/>
      <c r="C334" s="343"/>
      <c r="D334" s="343"/>
      <c r="E334" s="343"/>
      <c r="F334" s="495"/>
      <c r="G334" s="495"/>
      <c r="H334" s="343"/>
      <c r="I334" s="343"/>
      <c r="J334" s="343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537"/>
      <c r="X334" s="343"/>
      <c r="Y334" s="343"/>
      <c r="Z334" s="343"/>
    </row>
    <row r="335" ht="18.75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537"/>
      <c r="X335" s="343"/>
      <c r="Y335" s="343"/>
      <c r="Z335" s="343"/>
    </row>
    <row r="336" ht="18.75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537"/>
      <c r="X336" s="343"/>
      <c r="Y336" s="343"/>
      <c r="Z336" s="343"/>
    </row>
    <row r="337" ht="18.75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537"/>
      <c r="X337" s="343"/>
      <c r="Y337" s="343"/>
      <c r="Z337" s="343"/>
    </row>
    <row r="338" ht="18.75" customHeight="1">
      <c r="A338" s="343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537"/>
      <c r="X338" s="343"/>
      <c r="Y338" s="343"/>
      <c r="Z338" s="343"/>
    </row>
    <row r="339" ht="18.75" customHeight="1">
      <c r="A339" s="343"/>
      <c r="B339" s="343"/>
      <c r="C339" s="343"/>
      <c r="D339" s="343"/>
      <c r="E339" s="343"/>
      <c r="F339" s="495"/>
      <c r="G339" s="495"/>
      <c r="H339" s="343"/>
      <c r="I339" s="343"/>
      <c r="J339" s="343"/>
      <c r="K339" s="343"/>
      <c r="L339" s="343"/>
      <c r="M339" s="343"/>
      <c r="N339" s="343"/>
      <c r="O339" s="343"/>
      <c r="P339" s="343"/>
      <c r="Q339" s="343"/>
      <c r="R339" s="343"/>
      <c r="S339" s="343"/>
      <c r="T339" s="343"/>
      <c r="U339" s="343"/>
      <c r="V339" s="343"/>
      <c r="W339" s="537"/>
      <c r="X339" s="343"/>
      <c r="Y339" s="343"/>
      <c r="Z339" s="343"/>
    </row>
    <row r="340" ht="18.75" customHeight="1">
      <c r="A340" s="343"/>
      <c r="B340" s="343"/>
      <c r="C340" s="343"/>
      <c r="D340" s="343"/>
      <c r="E340" s="343"/>
      <c r="F340" s="495"/>
      <c r="G340" s="495"/>
      <c r="H340" s="343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537"/>
      <c r="X340" s="343"/>
      <c r="Y340" s="343"/>
      <c r="Z340" s="343"/>
    </row>
    <row r="341" ht="18.75" customHeight="1">
      <c r="A341" s="343"/>
      <c r="B341" s="343"/>
      <c r="C341" s="343"/>
      <c r="D341" s="343"/>
      <c r="E341" s="343"/>
      <c r="F341" s="495"/>
      <c r="G341" s="495"/>
      <c r="H341" s="343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537"/>
      <c r="X341" s="343"/>
      <c r="Y341" s="343"/>
      <c r="Z341" s="343"/>
    </row>
    <row r="342" ht="18.75" customHeight="1">
      <c r="A342" s="343"/>
      <c r="B342" s="343"/>
      <c r="C342" s="343"/>
      <c r="D342" s="343"/>
      <c r="E342" s="343"/>
      <c r="F342" s="495"/>
      <c r="G342" s="495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537"/>
      <c r="X342" s="343"/>
      <c r="Y342" s="343"/>
      <c r="Z342" s="343"/>
    </row>
    <row r="343" ht="18.75" customHeight="1">
      <c r="A343" s="343"/>
      <c r="B343" s="343"/>
      <c r="C343" s="343"/>
      <c r="D343" s="343"/>
      <c r="E343" s="343"/>
      <c r="F343" s="495"/>
      <c r="G343" s="495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537"/>
      <c r="X343" s="343"/>
      <c r="Y343" s="343"/>
      <c r="Z343" s="343"/>
    </row>
    <row r="344" ht="18.75" customHeight="1">
      <c r="A344" s="343"/>
      <c r="B344" s="343"/>
      <c r="C344" s="343"/>
      <c r="D344" s="343"/>
      <c r="E344" s="343"/>
      <c r="F344" s="495"/>
      <c r="G344" s="495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537"/>
      <c r="X344" s="343"/>
      <c r="Y344" s="343"/>
      <c r="Z344" s="343"/>
    </row>
    <row r="345" ht="18.75" customHeight="1">
      <c r="A345" s="343"/>
      <c r="B345" s="343"/>
      <c r="C345" s="343"/>
      <c r="D345" s="343"/>
      <c r="E345" s="343"/>
      <c r="F345" s="495"/>
      <c r="G345" s="495"/>
      <c r="H345" s="343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537"/>
      <c r="X345" s="343"/>
      <c r="Y345" s="343"/>
      <c r="Z345" s="343"/>
    </row>
    <row r="346" ht="18.75" customHeight="1">
      <c r="A346" s="343"/>
      <c r="B346" s="343"/>
      <c r="C346" s="343"/>
      <c r="D346" s="343"/>
      <c r="E346" s="343"/>
      <c r="F346" s="495"/>
      <c r="G346" s="495"/>
      <c r="H346" s="343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537"/>
      <c r="X346" s="343"/>
      <c r="Y346" s="343"/>
      <c r="Z346" s="343"/>
    </row>
    <row r="347" ht="18.75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537"/>
      <c r="X347" s="343"/>
      <c r="Y347" s="343"/>
      <c r="Z347" s="343"/>
    </row>
    <row r="348" ht="18.75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537"/>
      <c r="X348" s="343"/>
      <c r="Y348" s="343"/>
      <c r="Z348" s="343"/>
    </row>
    <row r="349" ht="18.75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537"/>
      <c r="X349" s="343"/>
      <c r="Y349" s="343"/>
      <c r="Z349" s="343"/>
    </row>
    <row r="350" ht="18.75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537"/>
      <c r="X350" s="343"/>
      <c r="Y350" s="343"/>
      <c r="Z350" s="343"/>
    </row>
    <row r="351" ht="18.75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537"/>
      <c r="X351" s="343"/>
      <c r="Y351" s="343"/>
      <c r="Z351" s="343"/>
    </row>
    <row r="352" ht="18.75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537"/>
      <c r="X352" s="343"/>
      <c r="Y352" s="343"/>
      <c r="Z352" s="343"/>
    </row>
    <row r="353" ht="18.75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537"/>
      <c r="X353" s="343"/>
      <c r="Y353" s="343"/>
      <c r="Z353" s="343"/>
    </row>
    <row r="354" ht="18.75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537"/>
      <c r="X354" s="343"/>
      <c r="Y354" s="343"/>
      <c r="Z354" s="343"/>
    </row>
    <row r="355" ht="18.75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537"/>
      <c r="X355" s="343"/>
      <c r="Y355" s="343"/>
      <c r="Z355" s="343"/>
    </row>
    <row r="356" ht="18.75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537"/>
      <c r="X356" s="343"/>
      <c r="Y356" s="343"/>
      <c r="Z356" s="343"/>
    </row>
    <row r="357" ht="18.75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537"/>
      <c r="X357" s="343"/>
      <c r="Y357" s="343"/>
      <c r="Z357" s="343"/>
    </row>
    <row r="358" ht="18.75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537"/>
      <c r="X358" s="343"/>
      <c r="Y358" s="343"/>
      <c r="Z358" s="343"/>
    </row>
    <row r="359" ht="18.75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537"/>
      <c r="X359" s="343"/>
      <c r="Y359" s="343"/>
      <c r="Z359" s="343"/>
    </row>
    <row r="360" ht="18.75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537"/>
      <c r="X360" s="343"/>
      <c r="Y360" s="343"/>
      <c r="Z360" s="343"/>
    </row>
    <row r="361" ht="18.75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537"/>
      <c r="X361" s="343"/>
      <c r="Y361" s="343"/>
      <c r="Z361" s="343"/>
    </row>
    <row r="362" ht="18.75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537"/>
      <c r="X362" s="343"/>
      <c r="Y362" s="343"/>
      <c r="Z362" s="343"/>
    </row>
    <row r="363" ht="18.75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537"/>
      <c r="X363" s="343"/>
      <c r="Y363" s="343"/>
      <c r="Z363" s="343"/>
    </row>
    <row r="364" ht="18.75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537"/>
      <c r="X364" s="343"/>
      <c r="Y364" s="343"/>
      <c r="Z364" s="343"/>
    </row>
    <row r="365" ht="18.75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537"/>
      <c r="X365" s="343"/>
      <c r="Y365" s="343"/>
      <c r="Z365" s="343"/>
    </row>
    <row r="366" ht="18.75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537"/>
      <c r="X366" s="343"/>
      <c r="Y366" s="343"/>
      <c r="Z366" s="343"/>
    </row>
    <row r="367" ht="18.75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537"/>
      <c r="X367" s="343"/>
      <c r="Y367" s="343"/>
      <c r="Z367" s="343"/>
    </row>
    <row r="368" ht="18.75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537"/>
      <c r="X368" s="343"/>
      <c r="Y368" s="343"/>
      <c r="Z368" s="343"/>
    </row>
    <row r="369" ht="18.75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537"/>
      <c r="X369" s="343"/>
      <c r="Y369" s="343"/>
      <c r="Z369" s="343"/>
    </row>
    <row r="370" ht="18.75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537"/>
      <c r="X370" s="343"/>
      <c r="Y370" s="343"/>
      <c r="Z370" s="343"/>
    </row>
    <row r="371" ht="18.75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537"/>
      <c r="X371" s="343"/>
      <c r="Y371" s="343"/>
      <c r="Z371" s="343"/>
    </row>
    <row r="372" ht="18.75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537"/>
      <c r="X372" s="343"/>
      <c r="Y372" s="343"/>
      <c r="Z372" s="343"/>
    </row>
    <row r="373" ht="18.75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537"/>
      <c r="X373" s="343"/>
      <c r="Y373" s="343"/>
      <c r="Z373" s="343"/>
    </row>
    <row r="374" ht="18.75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537"/>
      <c r="X374" s="343"/>
      <c r="Y374" s="343"/>
      <c r="Z374" s="343"/>
    </row>
    <row r="375" ht="18.75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537"/>
      <c r="X375" s="343"/>
      <c r="Y375" s="343"/>
      <c r="Z375" s="343"/>
    </row>
    <row r="376" ht="18.75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537"/>
      <c r="X376" s="343"/>
      <c r="Y376" s="343"/>
      <c r="Z376" s="343"/>
    </row>
    <row r="377" ht="18.75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537"/>
      <c r="X377" s="343"/>
      <c r="Y377" s="343"/>
      <c r="Z377" s="343"/>
    </row>
    <row r="378" ht="18.75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537"/>
      <c r="X378" s="343"/>
      <c r="Y378" s="343"/>
      <c r="Z378" s="343"/>
    </row>
    <row r="379" ht="18.75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537"/>
      <c r="X379" s="343"/>
      <c r="Y379" s="343"/>
      <c r="Z379" s="343"/>
    </row>
    <row r="380" ht="18.75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537"/>
      <c r="X380" s="343"/>
      <c r="Y380" s="343"/>
      <c r="Z380" s="343"/>
    </row>
    <row r="381" ht="18.75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537"/>
      <c r="X381" s="343"/>
      <c r="Y381" s="343"/>
      <c r="Z381" s="343"/>
    </row>
    <row r="382" ht="18.75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537"/>
      <c r="X382" s="343"/>
      <c r="Y382" s="343"/>
      <c r="Z382" s="343"/>
    </row>
    <row r="383" ht="18.75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537"/>
      <c r="X383" s="343"/>
      <c r="Y383" s="343"/>
      <c r="Z383" s="343"/>
    </row>
    <row r="384" ht="18.75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537"/>
      <c r="X384" s="343"/>
      <c r="Y384" s="343"/>
      <c r="Z384" s="343"/>
    </row>
    <row r="385" ht="18.75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537"/>
      <c r="X385" s="343"/>
      <c r="Y385" s="343"/>
      <c r="Z385" s="343"/>
    </row>
    <row r="386" ht="18.75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537"/>
      <c r="X386" s="343"/>
      <c r="Y386" s="343"/>
      <c r="Z386" s="343"/>
    </row>
    <row r="387" ht="18.75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537"/>
      <c r="X387" s="343"/>
      <c r="Y387" s="343"/>
      <c r="Z387" s="343"/>
    </row>
    <row r="388" ht="18.75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537"/>
      <c r="X388" s="343"/>
      <c r="Y388" s="343"/>
      <c r="Z388" s="343"/>
    </row>
    <row r="389" ht="18.75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537"/>
      <c r="X389" s="343"/>
      <c r="Y389" s="343"/>
      <c r="Z389" s="343"/>
    </row>
    <row r="390" ht="18.75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537"/>
      <c r="X390" s="343"/>
      <c r="Y390" s="343"/>
      <c r="Z390" s="343"/>
    </row>
    <row r="391" ht="18.75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537"/>
      <c r="X391" s="343"/>
      <c r="Y391" s="343"/>
      <c r="Z391" s="343"/>
    </row>
    <row r="392" ht="18.75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537"/>
      <c r="X392" s="343"/>
      <c r="Y392" s="343"/>
      <c r="Z392" s="343"/>
    </row>
    <row r="393" ht="18.75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537"/>
      <c r="X393" s="343"/>
      <c r="Y393" s="343"/>
      <c r="Z393" s="343"/>
    </row>
    <row r="394" ht="18.75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537"/>
      <c r="X394" s="343"/>
      <c r="Y394" s="343"/>
      <c r="Z394" s="343"/>
    </row>
    <row r="395" ht="18.75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537"/>
      <c r="X395" s="343"/>
      <c r="Y395" s="343"/>
      <c r="Z395" s="343"/>
    </row>
    <row r="396" ht="18.75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537"/>
      <c r="X396" s="343"/>
      <c r="Y396" s="343"/>
      <c r="Z396" s="343"/>
    </row>
    <row r="397" ht="18.75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537"/>
      <c r="X397" s="343"/>
      <c r="Y397" s="343"/>
      <c r="Z397" s="343"/>
    </row>
    <row r="398" ht="18.75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537"/>
      <c r="X398" s="343"/>
      <c r="Y398" s="343"/>
      <c r="Z398" s="343"/>
    </row>
    <row r="399" ht="18.75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537"/>
      <c r="X399" s="343"/>
      <c r="Y399" s="343"/>
      <c r="Z399" s="343"/>
    </row>
    <row r="400" ht="18.75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537"/>
      <c r="X400" s="343"/>
      <c r="Y400" s="343"/>
      <c r="Z400" s="343"/>
    </row>
    <row r="401" ht="18.75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537"/>
      <c r="X401" s="343"/>
      <c r="Y401" s="343"/>
      <c r="Z401" s="343"/>
    </row>
    <row r="402" ht="18.75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537"/>
      <c r="X402" s="343"/>
      <c r="Y402" s="343"/>
      <c r="Z402" s="343"/>
    </row>
    <row r="403" ht="18.75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537"/>
      <c r="X403" s="343"/>
      <c r="Y403" s="343"/>
      <c r="Z403" s="343"/>
    </row>
    <row r="404" ht="18.75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537"/>
      <c r="X404" s="343"/>
      <c r="Y404" s="343"/>
      <c r="Z404" s="343"/>
    </row>
    <row r="405" ht="18.75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537"/>
      <c r="X405" s="343"/>
      <c r="Y405" s="343"/>
      <c r="Z405" s="343"/>
    </row>
    <row r="406" ht="18.75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537"/>
      <c r="X406" s="343"/>
      <c r="Y406" s="343"/>
      <c r="Z406" s="343"/>
    </row>
    <row r="407" ht="18.75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537"/>
      <c r="X407" s="343"/>
      <c r="Y407" s="343"/>
      <c r="Z407" s="343"/>
    </row>
    <row r="408" ht="18.75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537"/>
      <c r="X408" s="343"/>
      <c r="Y408" s="343"/>
      <c r="Z408" s="343"/>
    </row>
    <row r="409" ht="18.75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537"/>
      <c r="X409" s="343"/>
      <c r="Y409" s="343"/>
      <c r="Z409" s="343"/>
    </row>
    <row r="410" ht="18.75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537"/>
      <c r="X410" s="343"/>
      <c r="Y410" s="343"/>
      <c r="Z410" s="343"/>
    </row>
    <row r="411" ht="18.75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537"/>
      <c r="X411" s="343"/>
      <c r="Y411" s="343"/>
      <c r="Z411" s="343"/>
    </row>
    <row r="412" ht="18.75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537"/>
      <c r="X412" s="343"/>
      <c r="Y412" s="343"/>
      <c r="Z412" s="343"/>
    </row>
    <row r="413" ht="18.75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537"/>
      <c r="X413" s="343"/>
      <c r="Y413" s="343"/>
      <c r="Z413" s="343"/>
    </row>
    <row r="414" ht="18.75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537"/>
      <c r="X414" s="343"/>
      <c r="Y414" s="343"/>
      <c r="Z414" s="343"/>
    </row>
    <row r="415" ht="18.75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537"/>
      <c r="X415" s="343"/>
      <c r="Y415" s="343"/>
      <c r="Z415" s="343"/>
    </row>
    <row r="416" ht="18.75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537"/>
      <c r="X416" s="343"/>
      <c r="Y416" s="343"/>
      <c r="Z416" s="343"/>
    </row>
    <row r="417" ht="18.75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537"/>
      <c r="X417" s="343"/>
      <c r="Y417" s="343"/>
      <c r="Z417" s="343"/>
    </row>
    <row r="418" ht="18.75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537"/>
      <c r="X418" s="343"/>
      <c r="Y418" s="343"/>
      <c r="Z418" s="343"/>
    </row>
    <row r="419" ht="18.75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537"/>
      <c r="X419" s="343"/>
      <c r="Y419" s="343"/>
      <c r="Z419" s="343"/>
    </row>
    <row r="420" ht="18.75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537"/>
      <c r="X420" s="343"/>
      <c r="Y420" s="343"/>
      <c r="Z420" s="343"/>
    </row>
    <row r="421" ht="18.75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537"/>
      <c r="X421" s="343"/>
      <c r="Y421" s="343"/>
      <c r="Z421" s="343"/>
    </row>
    <row r="422" ht="18.75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537"/>
      <c r="X422" s="343"/>
      <c r="Y422" s="343"/>
      <c r="Z422" s="343"/>
    </row>
    <row r="423" ht="18.75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537"/>
      <c r="X423" s="343"/>
      <c r="Y423" s="343"/>
      <c r="Z423" s="343"/>
    </row>
    <row r="424" ht="18.75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537"/>
      <c r="X424" s="343"/>
      <c r="Y424" s="343"/>
      <c r="Z424" s="343"/>
    </row>
    <row r="425" ht="18.75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537"/>
      <c r="X425" s="343"/>
      <c r="Y425" s="343"/>
      <c r="Z425" s="343"/>
    </row>
    <row r="426" ht="18.75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537"/>
      <c r="X426" s="343"/>
      <c r="Y426" s="343"/>
      <c r="Z426" s="343"/>
    </row>
    <row r="427" ht="18.75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537"/>
      <c r="X427" s="343"/>
      <c r="Y427" s="343"/>
      <c r="Z427" s="343"/>
    </row>
    <row r="428" ht="18.75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537"/>
      <c r="X428" s="343"/>
      <c r="Y428" s="343"/>
      <c r="Z428" s="343"/>
    </row>
    <row r="429" ht="18.75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537"/>
      <c r="X429" s="343"/>
      <c r="Y429" s="343"/>
      <c r="Z429" s="343"/>
    </row>
    <row r="430" ht="18.75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537"/>
      <c r="X430" s="343"/>
      <c r="Y430" s="343"/>
      <c r="Z430" s="343"/>
    </row>
    <row r="431" ht="18.75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537"/>
      <c r="X431" s="343"/>
      <c r="Y431" s="343"/>
      <c r="Z431" s="343"/>
    </row>
    <row r="432" ht="18.75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537"/>
      <c r="X432" s="343"/>
      <c r="Y432" s="343"/>
      <c r="Z432" s="343"/>
    </row>
    <row r="433" ht="18.75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537"/>
      <c r="X433" s="343"/>
      <c r="Y433" s="343"/>
      <c r="Z433" s="343"/>
    </row>
    <row r="434" ht="18.75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537"/>
      <c r="X434" s="343"/>
      <c r="Y434" s="343"/>
      <c r="Z434" s="343"/>
    </row>
    <row r="435" ht="18.75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537"/>
      <c r="X435" s="343"/>
      <c r="Y435" s="343"/>
      <c r="Z435" s="343"/>
    </row>
    <row r="436" ht="18.75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537"/>
      <c r="X436" s="343"/>
      <c r="Y436" s="343"/>
      <c r="Z436" s="343"/>
    </row>
    <row r="437" ht="18.75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537"/>
      <c r="X437" s="343"/>
      <c r="Y437" s="343"/>
      <c r="Z437" s="343"/>
    </row>
    <row r="438" ht="18.75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537"/>
      <c r="X438" s="343"/>
      <c r="Y438" s="343"/>
      <c r="Z438" s="343"/>
    </row>
    <row r="439" ht="18.75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537"/>
      <c r="X439" s="343"/>
      <c r="Y439" s="343"/>
      <c r="Z439" s="343"/>
    </row>
    <row r="440" ht="18.75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537"/>
      <c r="X440" s="343"/>
      <c r="Y440" s="343"/>
      <c r="Z440" s="343"/>
    </row>
    <row r="441" ht="18.75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537"/>
      <c r="X441" s="343"/>
      <c r="Y441" s="343"/>
      <c r="Z441" s="343"/>
    </row>
    <row r="442" ht="18.75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537"/>
      <c r="X442" s="343"/>
      <c r="Y442" s="343"/>
      <c r="Z442" s="343"/>
    </row>
    <row r="443" ht="18.75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537"/>
      <c r="X443" s="343"/>
      <c r="Y443" s="343"/>
      <c r="Z443" s="343"/>
    </row>
    <row r="444" ht="18.75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537"/>
      <c r="X444" s="343"/>
      <c r="Y444" s="343"/>
      <c r="Z444" s="343"/>
    </row>
    <row r="445" ht="18.75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537"/>
      <c r="X445" s="343"/>
      <c r="Y445" s="343"/>
      <c r="Z445" s="343"/>
    </row>
    <row r="446" ht="18.75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537"/>
      <c r="X446" s="343"/>
      <c r="Y446" s="343"/>
      <c r="Z446" s="343"/>
    </row>
    <row r="447" ht="18.75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537"/>
      <c r="X447" s="343"/>
      <c r="Y447" s="343"/>
      <c r="Z447" s="343"/>
    </row>
    <row r="448" ht="18.75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537"/>
      <c r="X448" s="343"/>
      <c r="Y448" s="343"/>
      <c r="Z448" s="343"/>
    </row>
    <row r="449" ht="18.75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537"/>
      <c r="X449" s="343"/>
      <c r="Y449" s="343"/>
      <c r="Z449" s="343"/>
    </row>
    <row r="450" ht="18.75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537"/>
      <c r="X450" s="343"/>
      <c r="Y450" s="343"/>
      <c r="Z450" s="343"/>
    </row>
    <row r="451" ht="18.75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537"/>
      <c r="X451" s="343"/>
      <c r="Y451" s="343"/>
      <c r="Z451" s="343"/>
    </row>
    <row r="452" ht="18.75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537"/>
      <c r="X452" s="343"/>
      <c r="Y452" s="343"/>
      <c r="Z452" s="343"/>
    </row>
    <row r="453" ht="18.75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537"/>
      <c r="X453" s="343"/>
      <c r="Y453" s="343"/>
      <c r="Z453" s="343"/>
    </row>
    <row r="454" ht="18.75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537"/>
      <c r="X454" s="343"/>
      <c r="Y454" s="343"/>
      <c r="Z454" s="343"/>
    </row>
    <row r="455" ht="18.75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537"/>
      <c r="X455" s="343"/>
      <c r="Y455" s="343"/>
      <c r="Z455" s="343"/>
    </row>
    <row r="456" ht="18.75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537"/>
      <c r="X456" s="343"/>
      <c r="Y456" s="343"/>
      <c r="Z456" s="343"/>
    </row>
    <row r="457" ht="18.75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537"/>
      <c r="X457" s="343"/>
      <c r="Y457" s="343"/>
      <c r="Z457" s="343"/>
    </row>
    <row r="458" ht="18.75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537"/>
      <c r="X458" s="343"/>
      <c r="Y458" s="343"/>
      <c r="Z458" s="343"/>
    </row>
    <row r="459" ht="18.75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537"/>
      <c r="X459" s="343"/>
      <c r="Y459" s="343"/>
      <c r="Z459" s="343"/>
    </row>
    <row r="460" ht="18.75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537"/>
      <c r="X460" s="343"/>
      <c r="Y460" s="343"/>
      <c r="Z460" s="343"/>
    </row>
    <row r="461" ht="18.75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537"/>
      <c r="X461" s="343"/>
      <c r="Y461" s="343"/>
      <c r="Z461" s="343"/>
    </row>
    <row r="462" ht="18.75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537"/>
      <c r="X462" s="343"/>
      <c r="Y462" s="343"/>
      <c r="Z462" s="343"/>
    </row>
    <row r="463" ht="18.75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537"/>
      <c r="X463" s="343"/>
      <c r="Y463" s="343"/>
      <c r="Z463" s="343"/>
    </row>
    <row r="464" ht="18.75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537"/>
      <c r="X464" s="343"/>
      <c r="Y464" s="343"/>
      <c r="Z464" s="343"/>
    </row>
    <row r="465" ht="18.75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537"/>
      <c r="X465" s="343"/>
      <c r="Y465" s="343"/>
      <c r="Z465" s="343"/>
    </row>
    <row r="466" ht="18.75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537"/>
      <c r="X466" s="343"/>
      <c r="Y466" s="343"/>
      <c r="Z466" s="343"/>
    </row>
    <row r="467" ht="18.75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537"/>
      <c r="X467" s="343"/>
      <c r="Y467" s="343"/>
      <c r="Z467" s="343"/>
    </row>
    <row r="468" ht="18.75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537"/>
      <c r="X468" s="343"/>
      <c r="Y468" s="343"/>
      <c r="Z468" s="343"/>
    </row>
    <row r="469" ht="18.75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537"/>
      <c r="X469" s="343"/>
      <c r="Y469" s="343"/>
      <c r="Z469" s="343"/>
    </row>
    <row r="470" ht="18.75" customHeight="1">
      <c r="A470" s="343"/>
      <c r="B470" s="343"/>
      <c r="C470" s="343"/>
      <c r="D470" s="343"/>
      <c r="E470" s="343"/>
      <c r="F470" s="495"/>
      <c r="G470" s="495"/>
      <c r="H470" s="343"/>
      <c r="I470" s="343"/>
      <c r="J470" s="343"/>
      <c r="K470" s="343"/>
      <c r="L470" s="343"/>
      <c r="M470" s="343"/>
      <c r="N470" s="343"/>
      <c r="O470" s="343"/>
      <c r="P470" s="343"/>
      <c r="Q470" s="343"/>
      <c r="R470" s="343"/>
      <c r="S470" s="343"/>
      <c r="T470" s="343"/>
      <c r="U470" s="343"/>
      <c r="V470" s="343"/>
      <c r="W470" s="537"/>
      <c r="X470" s="343"/>
      <c r="Y470" s="343"/>
      <c r="Z470" s="343"/>
    </row>
    <row r="471" ht="18.75" customHeight="1">
      <c r="A471" s="343"/>
      <c r="B471" s="343"/>
      <c r="C471" s="343"/>
      <c r="D471" s="343"/>
      <c r="E471" s="343"/>
      <c r="F471" s="495"/>
      <c r="G471" s="495"/>
      <c r="H471" s="343"/>
      <c r="I471" s="343"/>
      <c r="J471" s="343"/>
      <c r="K471" s="343"/>
      <c r="L471" s="343"/>
      <c r="M471" s="343"/>
      <c r="N471" s="343"/>
      <c r="O471" s="343"/>
      <c r="P471" s="343"/>
      <c r="Q471" s="343"/>
      <c r="R471" s="343"/>
      <c r="S471" s="343"/>
      <c r="T471" s="343"/>
      <c r="U471" s="343"/>
      <c r="V471" s="343"/>
      <c r="W471" s="537"/>
      <c r="X471" s="343"/>
      <c r="Y471" s="343"/>
      <c r="Z471" s="343"/>
    </row>
    <row r="472" ht="18.75" customHeight="1">
      <c r="A472" s="343"/>
      <c r="B472" s="343"/>
      <c r="C472" s="343"/>
      <c r="D472" s="343"/>
      <c r="E472" s="343"/>
      <c r="F472" s="495"/>
      <c r="G472" s="495"/>
      <c r="H472" s="343"/>
      <c r="I472" s="343"/>
      <c r="J472" s="343"/>
      <c r="K472" s="343"/>
      <c r="L472" s="343"/>
      <c r="M472" s="343"/>
      <c r="N472" s="343"/>
      <c r="O472" s="343"/>
      <c r="P472" s="343"/>
      <c r="Q472" s="343"/>
      <c r="R472" s="343"/>
      <c r="S472" s="343"/>
      <c r="T472" s="343"/>
      <c r="U472" s="343"/>
      <c r="V472" s="343"/>
      <c r="W472" s="537"/>
      <c r="X472" s="343"/>
      <c r="Y472" s="343"/>
      <c r="Z472" s="343"/>
    </row>
    <row r="473" ht="18.75" customHeight="1">
      <c r="A473" s="343"/>
      <c r="B473" s="343"/>
      <c r="C473" s="343"/>
      <c r="D473" s="343"/>
      <c r="E473" s="343"/>
      <c r="F473" s="495"/>
      <c r="G473" s="495"/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537"/>
      <c r="X473" s="343"/>
      <c r="Y473" s="343"/>
      <c r="Z473" s="343"/>
    </row>
    <row r="474" ht="18.75" customHeight="1">
      <c r="A474" s="343"/>
      <c r="B474" s="343"/>
      <c r="C474" s="343"/>
      <c r="D474" s="343"/>
      <c r="E474" s="343"/>
      <c r="F474" s="495"/>
      <c r="G474" s="495"/>
      <c r="H474" s="343"/>
      <c r="I474" s="343"/>
      <c r="J474" s="343"/>
      <c r="K474" s="343"/>
      <c r="L474" s="343"/>
      <c r="M474" s="343"/>
      <c r="N474" s="343"/>
      <c r="O474" s="343"/>
      <c r="P474" s="343"/>
      <c r="Q474" s="343"/>
      <c r="R474" s="343"/>
      <c r="S474" s="343"/>
      <c r="T474" s="343"/>
      <c r="U474" s="343"/>
      <c r="V474" s="343"/>
      <c r="W474" s="537"/>
      <c r="X474" s="343"/>
      <c r="Y474" s="343"/>
      <c r="Z474" s="343"/>
    </row>
    <row r="475" ht="18.75" customHeight="1">
      <c r="A475" s="343"/>
      <c r="B475" s="343"/>
      <c r="C475" s="343"/>
      <c r="D475" s="343"/>
      <c r="E475" s="343"/>
      <c r="F475" s="495"/>
      <c r="G475" s="495"/>
      <c r="H475" s="343"/>
      <c r="I475" s="343"/>
      <c r="J475" s="343"/>
      <c r="K475" s="343"/>
      <c r="L475" s="343"/>
      <c r="M475" s="343"/>
      <c r="N475" s="343"/>
      <c r="O475" s="343"/>
      <c r="P475" s="343"/>
      <c r="Q475" s="343"/>
      <c r="R475" s="343"/>
      <c r="S475" s="343"/>
      <c r="T475" s="343"/>
      <c r="U475" s="343"/>
      <c r="V475" s="343"/>
      <c r="W475" s="537"/>
      <c r="X475" s="343"/>
      <c r="Y475" s="343"/>
      <c r="Z475" s="343"/>
    </row>
    <row r="476" ht="18.75" customHeight="1">
      <c r="A476" s="343"/>
      <c r="B476" s="343"/>
      <c r="C476" s="343"/>
      <c r="D476" s="343"/>
      <c r="E476" s="343"/>
      <c r="F476" s="495"/>
      <c r="G476" s="495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537"/>
      <c r="X476" s="343"/>
      <c r="Y476" s="343"/>
      <c r="Z476" s="343"/>
    </row>
    <row r="477" ht="18.75" customHeight="1">
      <c r="A477" s="343"/>
      <c r="B477" s="343"/>
      <c r="C477" s="343"/>
      <c r="D477" s="343"/>
      <c r="E477" s="343"/>
      <c r="F477" s="495"/>
      <c r="G477" s="495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537"/>
      <c r="X477" s="343"/>
      <c r="Y477" s="343"/>
      <c r="Z477" s="343"/>
    </row>
    <row r="478" ht="18.75" customHeight="1">
      <c r="A478" s="343"/>
      <c r="B478" s="343"/>
      <c r="C478" s="343"/>
      <c r="D478" s="343"/>
      <c r="E478" s="343"/>
      <c r="F478" s="495"/>
      <c r="G478" s="495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537"/>
      <c r="X478" s="343"/>
      <c r="Y478" s="343"/>
      <c r="Z478" s="343"/>
    </row>
    <row r="479" ht="18.75" customHeight="1">
      <c r="A479" s="343"/>
      <c r="B479" s="343"/>
      <c r="C479" s="343"/>
      <c r="D479" s="343"/>
      <c r="E479" s="343"/>
      <c r="F479" s="495"/>
      <c r="G479" s="495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537"/>
      <c r="X479" s="343"/>
      <c r="Y479" s="343"/>
      <c r="Z479" s="343"/>
    </row>
    <row r="480" ht="18.75" customHeight="1">
      <c r="A480" s="343"/>
      <c r="B480" s="343"/>
      <c r="C480" s="343"/>
      <c r="D480" s="343"/>
      <c r="E480" s="343"/>
      <c r="F480" s="495"/>
      <c r="G480" s="495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537"/>
      <c r="X480" s="343"/>
      <c r="Y480" s="343"/>
      <c r="Z480" s="343"/>
    </row>
    <row r="481" ht="18.75" customHeight="1">
      <c r="A481" s="343"/>
      <c r="B481" s="343"/>
      <c r="C481" s="343"/>
      <c r="D481" s="343"/>
      <c r="E481" s="343"/>
      <c r="F481" s="495"/>
      <c r="G481" s="495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537"/>
      <c r="X481" s="343"/>
      <c r="Y481" s="343"/>
      <c r="Z481" s="343"/>
    </row>
    <row r="482" ht="18.75" customHeight="1">
      <c r="A482" s="343"/>
      <c r="B482" s="343"/>
      <c r="C482" s="343"/>
      <c r="D482" s="343"/>
      <c r="E482" s="343"/>
      <c r="F482" s="495"/>
      <c r="G482" s="495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537"/>
      <c r="X482" s="343"/>
      <c r="Y482" s="343"/>
      <c r="Z482" s="343"/>
    </row>
    <row r="483" ht="18.75" customHeight="1">
      <c r="A483" s="343"/>
      <c r="B483" s="343"/>
      <c r="C483" s="343"/>
      <c r="D483" s="343"/>
      <c r="E483" s="343"/>
      <c r="F483" s="495"/>
      <c r="G483" s="495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537"/>
      <c r="X483" s="343"/>
      <c r="Y483" s="343"/>
      <c r="Z483" s="343"/>
    </row>
    <row r="484" ht="18.75" customHeight="1">
      <c r="A484" s="343"/>
      <c r="B484" s="343"/>
      <c r="C484" s="343"/>
      <c r="D484" s="343"/>
      <c r="E484" s="343"/>
      <c r="F484" s="495"/>
      <c r="G484" s="495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537"/>
      <c r="X484" s="343"/>
      <c r="Y484" s="343"/>
      <c r="Z484" s="343"/>
    </row>
    <row r="485" ht="18.75" customHeight="1">
      <c r="A485" s="343"/>
      <c r="B485" s="343"/>
      <c r="C485" s="343"/>
      <c r="D485" s="343"/>
      <c r="E485" s="343"/>
      <c r="F485" s="495"/>
      <c r="G485" s="495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537"/>
      <c r="X485" s="343"/>
      <c r="Y485" s="343"/>
      <c r="Z485" s="343"/>
    </row>
    <row r="486" ht="18.75" customHeight="1">
      <c r="A486" s="343"/>
      <c r="B486" s="343"/>
      <c r="C486" s="343"/>
      <c r="D486" s="343"/>
      <c r="E486" s="343"/>
      <c r="F486" s="495"/>
      <c r="G486" s="495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537"/>
      <c r="X486" s="343"/>
      <c r="Y486" s="343"/>
      <c r="Z486" s="343"/>
    </row>
    <row r="487" ht="18.75" customHeight="1">
      <c r="A487" s="343"/>
      <c r="B487" s="343"/>
      <c r="C487" s="343"/>
      <c r="D487" s="343"/>
      <c r="E487" s="343"/>
      <c r="F487" s="495"/>
      <c r="G487" s="495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537"/>
      <c r="X487" s="343"/>
      <c r="Y487" s="343"/>
      <c r="Z487" s="343"/>
    </row>
    <row r="488" ht="18.75" customHeight="1">
      <c r="A488" s="343"/>
      <c r="B488" s="343"/>
      <c r="C488" s="343"/>
      <c r="D488" s="343"/>
      <c r="E488" s="343"/>
      <c r="F488" s="495"/>
      <c r="G488" s="495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537"/>
      <c r="X488" s="343"/>
      <c r="Y488" s="343"/>
      <c r="Z488" s="343"/>
    </row>
    <row r="489" ht="18.75" customHeight="1">
      <c r="A489" s="343"/>
      <c r="B489" s="343"/>
      <c r="C489" s="343"/>
      <c r="D489" s="343"/>
      <c r="E489" s="343"/>
      <c r="F489" s="495"/>
      <c r="G489" s="495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537"/>
      <c r="X489" s="343"/>
      <c r="Y489" s="343"/>
      <c r="Z489" s="343"/>
    </row>
    <row r="490" ht="18.75" customHeight="1">
      <c r="A490" s="343"/>
      <c r="B490" s="343"/>
      <c r="C490" s="343"/>
      <c r="D490" s="343"/>
      <c r="E490" s="343"/>
      <c r="F490" s="495"/>
      <c r="G490" s="495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537"/>
      <c r="X490" s="343"/>
      <c r="Y490" s="343"/>
      <c r="Z490" s="343"/>
    </row>
    <row r="491" ht="18.75" customHeight="1">
      <c r="A491" s="343"/>
      <c r="B491" s="343"/>
      <c r="C491" s="343"/>
      <c r="D491" s="343"/>
      <c r="E491" s="343"/>
      <c r="F491" s="495"/>
      <c r="G491" s="495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537"/>
      <c r="X491" s="343"/>
      <c r="Y491" s="343"/>
      <c r="Z491" s="343"/>
    </row>
    <row r="492" ht="18.75" customHeight="1">
      <c r="A492" s="343"/>
      <c r="B492" s="343"/>
      <c r="C492" s="343"/>
      <c r="D492" s="343"/>
      <c r="E492" s="343"/>
      <c r="F492" s="495"/>
      <c r="G492" s="495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537"/>
      <c r="X492" s="343"/>
      <c r="Y492" s="343"/>
      <c r="Z492" s="343"/>
    </row>
    <row r="493" ht="18.75" customHeight="1">
      <c r="A493" s="343"/>
      <c r="B493" s="343"/>
      <c r="C493" s="343"/>
      <c r="D493" s="343"/>
      <c r="E493" s="343"/>
      <c r="F493" s="495"/>
      <c r="G493" s="495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537"/>
      <c r="X493" s="343"/>
      <c r="Y493" s="343"/>
      <c r="Z493" s="343"/>
    </row>
    <row r="494" ht="18.75" customHeight="1">
      <c r="A494" s="343"/>
      <c r="B494" s="343"/>
      <c r="C494" s="343"/>
      <c r="D494" s="343"/>
      <c r="E494" s="343"/>
      <c r="F494" s="495"/>
      <c r="G494" s="495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537"/>
      <c r="X494" s="343"/>
      <c r="Y494" s="343"/>
      <c r="Z494" s="343"/>
    </row>
    <row r="495" ht="18.75" customHeight="1">
      <c r="A495" s="343"/>
      <c r="B495" s="343"/>
      <c r="C495" s="343"/>
      <c r="D495" s="343"/>
      <c r="E495" s="343"/>
      <c r="F495" s="495"/>
      <c r="G495" s="495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537"/>
      <c r="X495" s="343"/>
      <c r="Y495" s="343"/>
      <c r="Z495" s="343"/>
    </row>
    <row r="496" ht="18.75" customHeight="1">
      <c r="A496" s="343"/>
      <c r="B496" s="343"/>
      <c r="C496" s="343"/>
      <c r="D496" s="343"/>
      <c r="E496" s="343"/>
      <c r="F496" s="495"/>
      <c r="G496" s="495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537"/>
      <c r="X496" s="343"/>
      <c r="Y496" s="343"/>
      <c r="Z496" s="343"/>
    </row>
    <row r="497" ht="18.75" customHeight="1">
      <c r="A497" s="343"/>
      <c r="B497" s="343"/>
      <c r="C497" s="343"/>
      <c r="D497" s="343"/>
      <c r="E497" s="343"/>
      <c r="F497" s="495"/>
      <c r="G497" s="495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537"/>
      <c r="X497" s="343"/>
      <c r="Y497" s="343"/>
      <c r="Z497" s="343"/>
    </row>
    <row r="498" ht="18.75" customHeight="1">
      <c r="A498" s="343"/>
      <c r="B498" s="343"/>
      <c r="C498" s="343"/>
      <c r="D498" s="343"/>
      <c r="E498" s="343"/>
      <c r="F498" s="495"/>
      <c r="G498" s="495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537"/>
      <c r="X498" s="343"/>
      <c r="Y498" s="343"/>
      <c r="Z498" s="343"/>
    </row>
    <row r="499" ht="18.75" customHeight="1">
      <c r="A499" s="343"/>
      <c r="B499" s="343"/>
      <c r="C499" s="343"/>
      <c r="D499" s="343"/>
      <c r="E499" s="343"/>
      <c r="F499" s="495"/>
      <c r="G499" s="495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537"/>
      <c r="X499" s="343"/>
      <c r="Y499" s="343"/>
      <c r="Z499" s="343"/>
    </row>
    <row r="500" ht="18.75" customHeight="1">
      <c r="A500" s="343"/>
      <c r="B500" s="343"/>
      <c r="C500" s="343"/>
      <c r="D500" s="343"/>
      <c r="E500" s="343"/>
      <c r="F500" s="495"/>
      <c r="G500" s="495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537"/>
      <c r="X500" s="343"/>
      <c r="Y500" s="343"/>
      <c r="Z500" s="343"/>
    </row>
    <row r="501" ht="18.75" customHeight="1">
      <c r="A501" s="343"/>
      <c r="B501" s="343"/>
      <c r="C501" s="343"/>
      <c r="D501" s="343"/>
      <c r="E501" s="343"/>
      <c r="F501" s="495"/>
      <c r="G501" s="495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537"/>
      <c r="X501" s="343"/>
      <c r="Y501" s="343"/>
      <c r="Z501" s="343"/>
    </row>
    <row r="502" ht="18.75" customHeight="1">
      <c r="A502" s="343"/>
      <c r="B502" s="343"/>
      <c r="C502" s="343"/>
      <c r="D502" s="343"/>
      <c r="E502" s="343"/>
      <c r="F502" s="495"/>
      <c r="G502" s="495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537"/>
      <c r="X502" s="343"/>
      <c r="Y502" s="343"/>
      <c r="Z502" s="343"/>
    </row>
    <row r="503" ht="18.75" customHeight="1">
      <c r="A503" s="343"/>
      <c r="B503" s="343"/>
      <c r="C503" s="343"/>
      <c r="D503" s="343"/>
      <c r="E503" s="343"/>
      <c r="F503" s="495"/>
      <c r="G503" s="495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537"/>
      <c r="X503" s="343"/>
      <c r="Y503" s="343"/>
      <c r="Z503" s="343"/>
    </row>
    <row r="504" ht="18.75" customHeight="1">
      <c r="A504" s="343"/>
      <c r="B504" s="343"/>
      <c r="C504" s="343"/>
      <c r="D504" s="343"/>
      <c r="E504" s="343"/>
      <c r="F504" s="495"/>
      <c r="G504" s="495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537"/>
      <c r="X504" s="343"/>
      <c r="Y504" s="343"/>
      <c r="Z504" s="343"/>
    </row>
    <row r="505" ht="18.75" customHeight="1">
      <c r="A505" s="343"/>
      <c r="B505" s="343"/>
      <c r="C505" s="343"/>
      <c r="D505" s="343"/>
      <c r="E505" s="343"/>
      <c r="F505" s="495"/>
      <c r="G505" s="495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537"/>
      <c r="X505" s="343"/>
      <c r="Y505" s="343"/>
      <c r="Z505" s="343"/>
    </row>
    <row r="506" ht="18.75" customHeight="1">
      <c r="A506" s="343"/>
      <c r="B506" s="343"/>
      <c r="C506" s="343"/>
      <c r="D506" s="343"/>
      <c r="E506" s="343"/>
      <c r="F506" s="495"/>
      <c r="G506" s="495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537"/>
      <c r="X506" s="343"/>
      <c r="Y506" s="343"/>
      <c r="Z506" s="343"/>
    </row>
    <row r="507" ht="18.75" customHeight="1">
      <c r="A507" s="343"/>
      <c r="B507" s="343"/>
      <c r="C507" s="343"/>
      <c r="D507" s="343"/>
      <c r="E507" s="343"/>
      <c r="F507" s="495"/>
      <c r="G507" s="495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537"/>
      <c r="X507" s="343"/>
      <c r="Y507" s="343"/>
      <c r="Z507" s="343"/>
    </row>
    <row r="508" ht="18.75" customHeight="1">
      <c r="A508" s="343"/>
      <c r="B508" s="343"/>
      <c r="C508" s="343"/>
      <c r="D508" s="343"/>
      <c r="E508" s="343"/>
      <c r="F508" s="495"/>
      <c r="G508" s="495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537"/>
      <c r="X508" s="343"/>
      <c r="Y508" s="343"/>
      <c r="Z508" s="343"/>
    </row>
    <row r="509" ht="18.75" customHeight="1">
      <c r="A509" s="343"/>
      <c r="B509" s="343"/>
      <c r="C509" s="343"/>
      <c r="D509" s="343"/>
      <c r="E509" s="343"/>
      <c r="F509" s="495"/>
      <c r="G509" s="495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537"/>
      <c r="X509" s="343"/>
      <c r="Y509" s="343"/>
      <c r="Z509" s="343"/>
    </row>
    <row r="510" ht="18.75" customHeight="1">
      <c r="A510" s="343"/>
      <c r="B510" s="343"/>
      <c r="C510" s="343"/>
      <c r="D510" s="343"/>
      <c r="E510" s="343"/>
      <c r="F510" s="495"/>
      <c r="G510" s="495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537"/>
      <c r="X510" s="343"/>
      <c r="Y510" s="343"/>
      <c r="Z510" s="343"/>
    </row>
    <row r="511" ht="18.75" customHeight="1">
      <c r="A511" s="343"/>
      <c r="B511" s="343"/>
      <c r="C511" s="343"/>
      <c r="D511" s="343"/>
      <c r="E511" s="343"/>
      <c r="F511" s="495"/>
      <c r="G511" s="495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537"/>
      <c r="X511" s="343"/>
      <c r="Y511" s="343"/>
      <c r="Z511" s="343"/>
    </row>
    <row r="512" ht="18.75" customHeight="1">
      <c r="A512" s="343"/>
      <c r="B512" s="343"/>
      <c r="C512" s="343"/>
      <c r="D512" s="343"/>
      <c r="E512" s="343"/>
      <c r="F512" s="495"/>
      <c r="G512" s="495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537"/>
      <c r="X512" s="343"/>
      <c r="Y512" s="343"/>
      <c r="Z512" s="343"/>
    </row>
    <row r="513" ht="18.75" customHeight="1">
      <c r="A513" s="343"/>
      <c r="B513" s="343"/>
      <c r="C513" s="343"/>
      <c r="D513" s="343"/>
      <c r="E513" s="343"/>
      <c r="F513" s="495"/>
      <c r="G513" s="495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537"/>
      <c r="X513" s="343"/>
      <c r="Y513" s="343"/>
      <c r="Z513" s="343"/>
    </row>
    <row r="514" ht="18.75" customHeight="1">
      <c r="A514" s="343"/>
      <c r="B514" s="343"/>
      <c r="C514" s="343"/>
      <c r="D514" s="343"/>
      <c r="E514" s="343"/>
      <c r="F514" s="495"/>
      <c r="G514" s="495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537"/>
      <c r="X514" s="343"/>
      <c r="Y514" s="343"/>
      <c r="Z514" s="343"/>
    </row>
    <row r="515" ht="18.75" customHeight="1">
      <c r="A515" s="343"/>
      <c r="B515" s="343"/>
      <c r="C515" s="343"/>
      <c r="D515" s="343"/>
      <c r="E515" s="343"/>
      <c r="F515" s="495"/>
      <c r="G515" s="495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537"/>
      <c r="X515" s="343"/>
      <c r="Y515" s="343"/>
      <c r="Z515" s="343"/>
    </row>
    <row r="516" ht="18.75" customHeight="1">
      <c r="A516" s="343"/>
      <c r="B516" s="343"/>
      <c r="C516" s="343"/>
      <c r="D516" s="343"/>
      <c r="E516" s="343"/>
      <c r="F516" s="495"/>
      <c r="G516" s="495"/>
      <c r="H516" s="343"/>
      <c r="I516" s="343"/>
      <c r="J516" s="343"/>
      <c r="K516" s="343"/>
      <c r="L516" s="343"/>
      <c r="M516" s="343"/>
      <c r="N516" s="343"/>
      <c r="O516" s="343"/>
      <c r="P516" s="343"/>
      <c r="Q516" s="343"/>
      <c r="R516" s="343"/>
      <c r="S516" s="343"/>
      <c r="T516" s="343"/>
      <c r="U516" s="343"/>
      <c r="V516" s="343"/>
      <c r="W516" s="537"/>
      <c r="X516" s="343"/>
      <c r="Y516" s="343"/>
      <c r="Z516" s="343"/>
    </row>
    <row r="517" ht="18.75" customHeight="1">
      <c r="A517" s="343"/>
      <c r="B517" s="343"/>
      <c r="C517" s="343"/>
      <c r="D517" s="343"/>
      <c r="E517" s="343"/>
      <c r="F517" s="495"/>
      <c r="G517" s="495"/>
      <c r="H517" s="343"/>
      <c r="I517" s="343"/>
      <c r="J517" s="343"/>
      <c r="K517" s="343"/>
      <c r="L517" s="343"/>
      <c r="M517" s="343"/>
      <c r="N517" s="343"/>
      <c r="O517" s="343"/>
      <c r="P517" s="343"/>
      <c r="Q517" s="343"/>
      <c r="R517" s="343"/>
      <c r="S517" s="343"/>
      <c r="T517" s="343"/>
      <c r="U517" s="343"/>
      <c r="V517" s="343"/>
      <c r="W517" s="537"/>
      <c r="X517" s="343"/>
      <c r="Y517" s="343"/>
      <c r="Z517" s="343"/>
    </row>
    <row r="518" ht="18.75" customHeight="1">
      <c r="A518" s="343"/>
      <c r="B518" s="343"/>
      <c r="C518" s="343"/>
      <c r="D518" s="343"/>
      <c r="E518" s="343"/>
      <c r="F518" s="495"/>
      <c r="G518" s="495"/>
      <c r="H518" s="343"/>
      <c r="I518" s="343"/>
      <c r="J518" s="343"/>
      <c r="K518" s="343"/>
      <c r="L518" s="343"/>
      <c r="M518" s="343"/>
      <c r="N518" s="343"/>
      <c r="O518" s="343"/>
      <c r="P518" s="343"/>
      <c r="Q518" s="343"/>
      <c r="R518" s="343"/>
      <c r="S518" s="343"/>
      <c r="T518" s="343"/>
      <c r="U518" s="343"/>
      <c r="V518" s="343"/>
      <c r="W518" s="537"/>
      <c r="X518" s="343"/>
      <c r="Y518" s="343"/>
      <c r="Z518" s="343"/>
    </row>
    <row r="519" ht="18.75" customHeight="1">
      <c r="A519" s="343"/>
      <c r="B519" s="343"/>
      <c r="C519" s="343"/>
      <c r="D519" s="343"/>
      <c r="E519" s="343"/>
      <c r="F519" s="495"/>
      <c r="G519" s="495"/>
      <c r="H519" s="343"/>
      <c r="I519" s="343"/>
      <c r="J519" s="343"/>
      <c r="K519" s="343"/>
      <c r="L519" s="343"/>
      <c r="M519" s="343"/>
      <c r="N519" s="343"/>
      <c r="O519" s="343"/>
      <c r="P519" s="343"/>
      <c r="Q519" s="343"/>
      <c r="R519" s="343"/>
      <c r="S519" s="343"/>
      <c r="T519" s="343"/>
      <c r="U519" s="343"/>
      <c r="V519" s="343"/>
      <c r="W519" s="537"/>
      <c r="X519" s="343"/>
      <c r="Y519" s="343"/>
      <c r="Z519" s="343"/>
    </row>
    <row r="520" ht="18.75" customHeight="1">
      <c r="A520" s="343"/>
      <c r="B520" s="343"/>
      <c r="C520" s="343"/>
      <c r="D520" s="343"/>
      <c r="E520" s="343"/>
      <c r="F520" s="495"/>
      <c r="G520" s="495"/>
      <c r="H520" s="343"/>
      <c r="I520" s="343"/>
      <c r="J520" s="343"/>
      <c r="K520" s="343"/>
      <c r="L520" s="343"/>
      <c r="M520" s="343"/>
      <c r="N520" s="343"/>
      <c r="O520" s="343"/>
      <c r="P520" s="343"/>
      <c r="Q520" s="343"/>
      <c r="R520" s="343"/>
      <c r="S520" s="343"/>
      <c r="T520" s="343"/>
      <c r="U520" s="343"/>
      <c r="V520" s="343"/>
      <c r="W520" s="537"/>
      <c r="X520" s="343"/>
      <c r="Y520" s="343"/>
      <c r="Z520" s="343"/>
    </row>
    <row r="521" ht="18.75" customHeight="1">
      <c r="A521" s="343"/>
      <c r="B521" s="343"/>
      <c r="C521" s="343"/>
      <c r="D521" s="343"/>
      <c r="E521" s="343"/>
      <c r="F521" s="495"/>
      <c r="G521" s="495"/>
      <c r="H521" s="343"/>
      <c r="I521" s="343"/>
      <c r="J521" s="343"/>
      <c r="K521" s="343"/>
      <c r="L521" s="343"/>
      <c r="M521" s="343"/>
      <c r="N521" s="343"/>
      <c r="O521" s="343"/>
      <c r="P521" s="343"/>
      <c r="Q521" s="343"/>
      <c r="R521" s="343"/>
      <c r="S521" s="343"/>
      <c r="T521" s="343"/>
      <c r="U521" s="343"/>
      <c r="V521" s="343"/>
      <c r="W521" s="537"/>
      <c r="X521" s="343"/>
      <c r="Y521" s="343"/>
      <c r="Z521" s="343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2"/>
      <c r="B1" s="453"/>
      <c r="C1" s="453"/>
      <c r="D1" s="453"/>
      <c r="E1" s="453"/>
      <c r="F1" s="460"/>
      <c r="G1" s="460"/>
      <c r="H1" s="453"/>
      <c r="I1" s="466"/>
      <c r="J1" s="466"/>
      <c r="K1" s="455"/>
      <c r="L1" s="455"/>
      <c r="M1" s="455"/>
      <c r="N1" s="455"/>
      <c r="O1" s="452"/>
      <c r="P1" s="452"/>
      <c r="Q1" s="452"/>
      <c r="R1" s="455"/>
      <c r="S1" s="455"/>
      <c r="T1" s="455"/>
      <c r="U1" s="455"/>
      <c r="V1" s="455"/>
      <c r="W1" s="455"/>
      <c r="X1" s="452"/>
      <c r="Y1" s="452"/>
    </row>
    <row r="2" ht="21.0" customHeight="1">
      <c r="A2" s="541"/>
      <c r="B2" s="542"/>
      <c r="C2" s="542"/>
      <c r="D2" s="542"/>
      <c r="E2" s="543"/>
      <c r="F2" s="544"/>
      <c r="G2" s="544"/>
      <c r="H2" s="542"/>
      <c r="I2" s="545"/>
      <c r="J2" s="545"/>
      <c r="K2" s="544"/>
      <c r="L2" s="544"/>
      <c r="M2" s="544"/>
      <c r="N2" s="26"/>
      <c r="O2" s="546"/>
      <c r="P2" s="547"/>
      <c r="Q2" s="547"/>
      <c r="R2" s="544"/>
      <c r="S2" s="544"/>
      <c r="T2" s="544"/>
      <c r="U2" s="544"/>
      <c r="V2" s="544"/>
      <c r="W2" s="544"/>
      <c r="X2" s="541"/>
      <c r="Y2" s="541"/>
    </row>
    <row r="3" ht="21.0" customHeight="1">
      <c r="A3" s="541"/>
      <c r="B3" s="542"/>
      <c r="C3" s="26"/>
      <c r="D3" s="544"/>
      <c r="E3" s="544"/>
      <c r="F3" s="544"/>
      <c r="G3" s="544"/>
      <c r="H3" s="544"/>
      <c r="I3" s="544"/>
      <c r="J3" s="544"/>
      <c r="K3" s="547"/>
      <c r="L3" s="546"/>
      <c r="M3" s="546"/>
      <c r="N3" s="547"/>
      <c r="O3" s="546"/>
      <c r="P3" s="547"/>
      <c r="Q3" s="547"/>
      <c r="R3" s="544"/>
      <c r="S3" s="544"/>
      <c r="T3" s="544"/>
      <c r="U3" s="544"/>
      <c r="V3" s="548"/>
      <c r="W3" s="544"/>
      <c r="X3" s="541"/>
      <c r="Y3" s="541"/>
    </row>
    <row r="4" ht="21.0" customHeight="1">
      <c r="A4" s="541"/>
      <c r="B4" s="549"/>
      <c r="C4" s="544"/>
      <c r="D4" s="544"/>
      <c r="E4" s="544"/>
      <c r="F4" s="544"/>
      <c r="G4" s="544"/>
      <c r="H4" s="544"/>
      <c r="I4" s="544"/>
      <c r="J4" s="544"/>
      <c r="K4" s="547"/>
      <c r="L4" s="546"/>
      <c r="M4" s="546"/>
      <c r="N4" s="547"/>
      <c r="O4" s="550"/>
      <c r="P4" s="541"/>
      <c r="Q4" s="541"/>
      <c r="R4" s="544"/>
      <c r="S4" s="544"/>
      <c r="T4" s="544"/>
      <c r="U4" s="544"/>
      <c r="V4" s="548"/>
      <c r="W4" s="544"/>
      <c r="X4" s="541"/>
      <c r="Y4" s="541"/>
    </row>
    <row r="5" ht="21.0" customHeight="1">
      <c r="A5" s="541"/>
      <c r="B5" s="549"/>
      <c r="C5" s="544"/>
      <c r="D5" s="544"/>
      <c r="E5" s="544"/>
      <c r="F5" s="544"/>
      <c r="G5" s="544"/>
      <c r="H5" s="544"/>
      <c r="I5" s="551"/>
      <c r="J5" s="551"/>
      <c r="K5" s="552"/>
      <c r="L5" s="551"/>
      <c r="M5" s="551"/>
      <c r="N5" s="544"/>
      <c r="O5" s="541"/>
      <c r="P5" s="541"/>
      <c r="Q5" s="541"/>
      <c r="R5" s="544"/>
      <c r="S5" s="544"/>
      <c r="T5" s="544"/>
      <c r="U5" s="544"/>
      <c r="V5" s="548"/>
      <c r="W5" s="544"/>
      <c r="X5" s="541"/>
      <c r="Y5" s="541"/>
    </row>
    <row r="6" ht="21.0" customHeight="1">
      <c r="A6" s="541"/>
      <c r="B6" s="549"/>
      <c r="C6" s="544"/>
      <c r="D6" s="544"/>
      <c r="E6" s="544"/>
      <c r="F6" s="544"/>
      <c r="G6" s="544"/>
      <c r="H6" s="542"/>
      <c r="I6" s="26"/>
      <c r="J6" s="26"/>
      <c r="K6" s="546"/>
      <c r="L6" s="547"/>
      <c r="M6" s="547"/>
      <c r="N6" s="544"/>
      <c r="O6" s="541"/>
      <c r="P6" s="541"/>
      <c r="Q6" s="541"/>
      <c r="R6" s="544"/>
      <c r="S6" s="544"/>
      <c r="T6" s="544"/>
      <c r="U6" s="544"/>
      <c r="V6" s="548"/>
      <c r="W6" s="544"/>
      <c r="X6" s="541"/>
      <c r="Y6" s="541"/>
    </row>
    <row r="7" ht="21.0" customHeight="1">
      <c r="A7" s="541"/>
      <c r="B7" s="549"/>
      <c r="C7" s="553"/>
      <c r="D7" s="544"/>
      <c r="E7" s="554"/>
      <c r="F7" s="544"/>
      <c r="G7" s="544"/>
      <c r="H7" s="542"/>
      <c r="I7" s="26"/>
      <c r="J7" s="26"/>
      <c r="K7" s="552"/>
      <c r="L7" s="552"/>
      <c r="M7" s="552"/>
      <c r="N7" s="544"/>
      <c r="O7" s="541"/>
      <c r="P7" s="541"/>
      <c r="Q7" s="541"/>
      <c r="R7" s="544"/>
      <c r="S7" s="544"/>
      <c r="T7" s="544"/>
      <c r="U7" s="544"/>
      <c r="V7" s="548"/>
      <c r="W7" s="544"/>
      <c r="X7" s="541"/>
      <c r="Y7" s="541"/>
    </row>
    <row r="8" ht="21.0" customHeight="1">
      <c r="A8" s="541"/>
      <c r="B8" s="549"/>
      <c r="C8" s="544"/>
      <c r="D8" s="544"/>
      <c r="E8" s="544"/>
      <c r="F8" s="544"/>
      <c r="G8" s="544"/>
      <c r="H8" s="555"/>
      <c r="I8" s="556"/>
      <c r="J8" s="556"/>
      <c r="K8" s="557"/>
      <c r="L8" s="544"/>
      <c r="M8" s="544"/>
      <c r="N8" s="544"/>
      <c r="O8" s="541"/>
      <c r="P8" s="541"/>
      <c r="Q8" s="541"/>
      <c r="R8" s="544"/>
      <c r="S8" s="544"/>
      <c r="T8" s="544"/>
      <c r="U8" s="544"/>
      <c r="V8" s="548"/>
      <c r="W8" s="544"/>
      <c r="X8" s="541"/>
      <c r="Y8" s="541"/>
    </row>
    <row r="9" ht="21.0" customHeight="1">
      <c r="A9" s="452"/>
      <c r="B9" s="459"/>
      <c r="C9" s="455"/>
      <c r="D9" s="455"/>
      <c r="E9" s="455"/>
      <c r="F9" s="455"/>
      <c r="G9" s="455"/>
      <c r="H9" s="467"/>
      <c r="I9" s="556"/>
      <c r="J9" s="556"/>
      <c r="K9" s="557"/>
      <c r="L9" s="544"/>
      <c r="M9" s="544"/>
      <c r="N9" s="544"/>
      <c r="O9" s="541"/>
      <c r="P9" s="541"/>
      <c r="Q9" s="541"/>
      <c r="R9" s="544"/>
      <c r="S9" s="544"/>
      <c r="T9" s="544"/>
      <c r="U9" s="544"/>
      <c r="V9" s="548"/>
      <c r="W9" s="544"/>
      <c r="X9" s="541"/>
      <c r="Y9" s="541"/>
    </row>
    <row r="10" ht="21.0" customHeight="1">
      <c r="A10" s="452"/>
      <c r="B10" s="453"/>
      <c r="C10" s="455"/>
      <c r="D10" s="455"/>
      <c r="E10" s="455"/>
      <c r="F10" s="455"/>
      <c r="G10" s="455"/>
      <c r="H10" s="467"/>
      <c r="I10" s="556"/>
      <c r="J10" s="556"/>
      <c r="K10" s="557"/>
      <c r="L10" s="544"/>
      <c r="M10" s="544"/>
      <c r="N10" s="544"/>
      <c r="O10" s="541"/>
      <c r="P10" s="541"/>
      <c r="Q10" s="541"/>
      <c r="R10" s="544"/>
      <c r="S10" s="544"/>
      <c r="T10" s="544"/>
      <c r="U10" s="544"/>
      <c r="V10" s="548"/>
      <c r="W10" s="544"/>
      <c r="X10" s="541"/>
      <c r="Y10" s="541"/>
    </row>
    <row r="11" ht="21.0" customHeight="1">
      <c r="A11" s="452"/>
      <c r="B11" s="453" t="s">
        <v>149</v>
      </c>
      <c r="C11" s="455" t="s">
        <v>150</v>
      </c>
      <c r="D11" s="455" t="s">
        <v>151</v>
      </c>
      <c r="E11" s="452" t="s">
        <v>158</v>
      </c>
      <c r="F11" s="455"/>
      <c r="G11" s="455"/>
      <c r="H11" s="467"/>
      <c r="I11" s="545"/>
      <c r="J11" s="545"/>
      <c r="K11" s="555"/>
      <c r="L11" s="544"/>
      <c r="M11" s="544"/>
      <c r="N11" s="544"/>
      <c r="O11" s="541"/>
      <c r="P11" s="541"/>
      <c r="Q11" s="541"/>
      <c r="R11" s="544"/>
      <c r="S11" s="544"/>
      <c r="T11" s="544"/>
      <c r="U11" s="544"/>
      <c r="V11" s="542"/>
      <c r="W11" s="544"/>
      <c r="X11" s="544"/>
      <c r="Y11" s="541"/>
    </row>
    <row r="12" ht="21.0" customHeight="1">
      <c r="A12" s="452"/>
      <c r="B12" s="453">
        <v>1.0</v>
      </c>
      <c r="C12" s="467"/>
      <c r="D12" s="528"/>
      <c r="E12" s="467"/>
      <c r="F12" s="455"/>
      <c r="G12" s="455"/>
      <c r="H12" s="467"/>
      <c r="I12" s="558"/>
      <c r="J12" s="558"/>
      <c r="K12" s="557"/>
      <c r="L12" s="544"/>
      <c r="M12" s="544"/>
      <c r="N12" s="544"/>
      <c r="O12" s="541"/>
      <c r="P12" s="541"/>
      <c r="Q12" s="541"/>
      <c r="R12" s="544"/>
      <c r="S12" s="66"/>
      <c r="T12" s="66"/>
      <c r="U12" s="544"/>
      <c r="V12" s="542"/>
      <c r="W12" s="559"/>
      <c r="X12" s="550"/>
      <c r="Y12" s="541"/>
    </row>
    <row r="13" ht="21.0" customHeight="1">
      <c r="A13" s="452"/>
      <c r="B13" s="453">
        <v>2.0</v>
      </c>
      <c r="C13" s="485"/>
      <c r="D13" s="528"/>
      <c r="E13" s="485"/>
      <c r="F13" s="460"/>
      <c r="G13" s="460"/>
      <c r="H13" s="453"/>
      <c r="I13" s="545"/>
      <c r="J13" s="545"/>
      <c r="K13" s="544"/>
      <c r="L13" s="544"/>
      <c r="M13" s="544"/>
      <c r="N13" s="544"/>
      <c r="O13" s="541"/>
      <c r="P13" s="541"/>
      <c r="Q13" s="541"/>
      <c r="R13" s="544"/>
      <c r="S13" s="66"/>
      <c r="T13" s="66"/>
      <c r="U13" s="544"/>
      <c r="V13" s="542"/>
      <c r="W13" s="542"/>
      <c r="X13" s="560"/>
      <c r="Y13" s="541"/>
    </row>
    <row r="14" ht="21.0" customHeight="1">
      <c r="A14" s="452"/>
      <c r="B14" s="453">
        <v>3.0</v>
      </c>
      <c r="C14" s="467"/>
      <c r="D14" s="528"/>
      <c r="E14" s="485"/>
      <c r="F14" s="460"/>
      <c r="G14" s="460"/>
      <c r="H14" s="453"/>
      <c r="I14" s="545"/>
      <c r="J14" s="545"/>
      <c r="K14" s="544"/>
      <c r="L14" s="544"/>
      <c r="M14" s="544"/>
      <c r="N14" s="544"/>
      <c r="O14" s="541"/>
      <c r="P14" s="541"/>
      <c r="Q14" s="541"/>
      <c r="R14" s="544"/>
      <c r="S14" s="66"/>
      <c r="T14" s="66"/>
      <c r="U14" s="544"/>
      <c r="V14" s="542"/>
      <c r="W14" s="542"/>
      <c r="X14" s="560"/>
      <c r="Y14" s="541"/>
    </row>
    <row r="15" ht="21.0" customHeight="1">
      <c r="A15" s="452"/>
      <c r="B15" s="453">
        <v>4.0</v>
      </c>
      <c r="C15" s="467"/>
      <c r="D15" s="528"/>
      <c r="E15" s="485"/>
      <c r="F15" s="460"/>
      <c r="G15" s="460"/>
      <c r="H15" s="453"/>
      <c r="I15" s="545"/>
      <c r="J15" s="545"/>
      <c r="K15" s="544"/>
      <c r="L15" s="544"/>
      <c r="M15" s="544"/>
      <c r="N15" s="544"/>
      <c r="O15" s="541"/>
      <c r="P15" s="541"/>
      <c r="Q15" s="541"/>
      <c r="R15" s="544"/>
      <c r="S15" s="66"/>
      <c r="T15" s="66"/>
      <c r="U15" s="544"/>
      <c r="V15" s="542"/>
      <c r="W15" s="542"/>
      <c r="X15" s="26"/>
      <c r="Y15" s="541"/>
    </row>
    <row r="16" ht="21.0" customHeight="1">
      <c r="A16" s="452"/>
      <c r="B16" s="453">
        <v>5.0</v>
      </c>
      <c r="C16" s="467"/>
      <c r="D16" s="528"/>
      <c r="E16" s="485"/>
      <c r="F16" s="460"/>
      <c r="G16" s="460"/>
      <c r="H16" s="453"/>
      <c r="I16" s="545"/>
      <c r="J16" s="545"/>
      <c r="K16" s="544"/>
      <c r="L16" s="544"/>
      <c r="M16" s="544"/>
      <c r="N16" s="544"/>
      <c r="O16" s="541"/>
      <c r="P16" s="541"/>
      <c r="Q16" s="541"/>
      <c r="R16" s="544"/>
      <c r="S16" s="66"/>
      <c r="T16" s="66"/>
      <c r="U16" s="544"/>
      <c r="V16" s="542"/>
      <c r="W16" s="542"/>
      <c r="X16" s="560"/>
      <c r="Y16" s="541"/>
    </row>
    <row r="17" ht="21.0" customHeight="1">
      <c r="A17" s="452"/>
      <c r="B17" s="453">
        <v>6.0</v>
      </c>
      <c r="C17" s="467"/>
      <c r="D17" s="528"/>
      <c r="E17" s="485"/>
      <c r="F17" s="460"/>
      <c r="G17" s="460"/>
      <c r="H17" s="453"/>
      <c r="I17" s="545"/>
      <c r="J17" s="545"/>
      <c r="K17" s="544"/>
      <c r="L17" s="544"/>
      <c r="M17" s="544"/>
      <c r="N17" s="544"/>
      <c r="O17" s="541"/>
      <c r="P17" s="541"/>
      <c r="Q17" s="541"/>
      <c r="R17" s="544"/>
      <c r="S17" s="66"/>
      <c r="T17" s="66"/>
      <c r="U17" s="544"/>
      <c r="V17" s="542"/>
      <c r="W17" s="542"/>
      <c r="X17" s="560"/>
      <c r="Y17" s="541"/>
    </row>
    <row r="18" ht="21.0" customHeight="1">
      <c r="A18" s="452"/>
      <c r="B18" s="453">
        <v>7.0</v>
      </c>
      <c r="C18" s="485"/>
      <c r="D18" s="531"/>
      <c r="E18" s="485"/>
      <c r="F18" s="460"/>
      <c r="G18" s="460"/>
      <c r="H18" s="453"/>
      <c r="I18" s="545"/>
      <c r="J18" s="545"/>
      <c r="K18" s="544"/>
      <c r="L18" s="544"/>
      <c r="M18" s="544"/>
      <c r="N18" s="544"/>
      <c r="O18" s="541"/>
      <c r="P18" s="541"/>
      <c r="Q18" s="541"/>
      <c r="R18" s="544"/>
      <c r="S18" s="66"/>
      <c r="T18" s="66"/>
      <c r="U18" s="544"/>
      <c r="V18" s="542"/>
      <c r="W18" s="561"/>
      <c r="X18" s="550"/>
      <c r="Y18" s="541"/>
    </row>
    <row r="19" ht="21.0" customHeight="1">
      <c r="A19" s="452"/>
      <c r="B19" s="453">
        <v>8.0</v>
      </c>
      <c r="C19" s="485"/>
      <c r="D19" s="531"/>
      <c r="E19" s="485"/>
      <c r="F19" s="460"/>
      <c r="G19" s="460"/>
      <c r="H19" s="453"/>
      <c r="I19" s="545"/>
      <c r="J19" s="545"/>
      <c r="K19" s="544"/>
      <c r="L19" s="544"/>
      <c r="M19" s="544"/>
      <c r="N19" s="544"/>
      <c r="O19" s="541"/>
      <c r="P19" s="541"/>
      <c r="Q19" s="541"/>
      <c r="R19" s="544"/>
      <c r="S19" s="66"/>
      <c r="T19" s="66"/>
      <c r="U19" s="544"/>
      <c r="V19" s="542"/>
      <c r="W19" s="542"/>
      <c r="X19" s="550"/>
      <c r="Y19" s="541"/>
    </row>
    <row r="20" ht="21.0" customHeight="1">
      <c r="A20" s="452"/>
      <c r="B20" s="453">
        <v>9.0</v>
      </c>
      <c r="C20" s="467"/>
      <c r="D20" s="484"/>
      <c r="E20" s="485"/>
      <c r="F20" s="460"/>
      <c r="G20" s="460"/>
      <c r="H20" s="453"/>
      <c r="I20" s="545"/>
      <c r="J20" s="545"/>
      <c r="K20" s="544"/>
      <c r="L20" s="544"/>
      <c r="M20" s="544"/>
      <c r="N20" s="544"/>
      <c r="O20" s="541"/>
      <c r="P20" s="541"/>
      <c r="Q20" s="541"/>
      <c r="R20" s="544"/>
      <c r="S20" s="66"/>
      <c r="T20" s="66"/>
      <c r="U20" s="544"/>
      <c r="V20" s="542"/>
      <c r="W20" s="562"/>
      <c r="X20" s="550"/>
      <c r="Y20" s="541"/>
    </row>
    <row r="21" ht="21.0" customHeight="1">
      <c r="A21" s="452"/>
      <c r="B21" s="453">
        <v>10.0</v>
      </c>
      <c r="C21" s="467"/>
      <c r="D21" s="528"/>
      <c r="E21" s="485"/>
      <c r="F21" s="460"/>
      <c r="G21" s="460"/>
      <c r="H21" s="453"/>
      <c r="I21" s="545"/>
      <c r="J21" s="545"/>
      <c r="K21" s="544"/>
      <c r="L21" s="544"/>
      <c r="M21" s="544"/>
      <c r="N21" s="544"/>
      <c r="O21" s="541"/>
      <c r="P21" s="541"/>
      <c r="Q21" s="541"/>
      <c r="R21" s="544"/>
      <c r="S21" s="66"/>
      <c r="T21" s="66"/>
      <c r="U21" s="544"/>
      <c r="V21" s="542"/>
      <c r="W21" s="542"/>
      <c r="X21" s="550"/>
      <c r="Y21" s="541"/>
    </row>
    <row r="22" ht="21.0" customHeight="1">
      <c r="A22" s="452"/>
      <c r="B22" s="453">
        <v>11.0</v>
      </c>
      <c r="C22" s="467"/>
      <c r="D22" s="528"/>
      <c r="E22" s="485"/>
      <c r="F22" s="460"/>
      <c r="G22" s="460"/>
      <c r="H22" s="453"/>
      <c r="I22" s="545"/>
      <c r="J22" s="545"/>
      <c r="K22" s="544"/>
      <c r="L22" s="544"/>
      <c r="M22" s="544"/>
      <c r="N22" s="544"/>
      <c r="O22" s="541"/>
      <c r="P22" s="541"/>
      <c r="Q22" s="541"/>
      <c r="R22" s="544"/>
      <c r="S22" s="66"/>
      <c r="T22" s="66"/>
      <c r="U22" s="544"/>
      <c r="V22" s="542"/>
      <c r="W22" s="562"/>
      <c r="X22" s="550"/>
      <c r="Y22" s="541"/>
    </row>
    <row r="23" ht="21.0" customHeight="1">
      <c r="A23" s="452"/>
      <c r="B23" s="453">
        <v>12.0</v>
      </c>
      <c r="C23" s="485"/>
      <c r="D23" s="531"/>
      <c r="E23" s="485"/>
      <c r="F23" s="460"/>
      <c r="G23" s="460"/>
      <c r="H23" s="453"/>
      <c r="I23" s="545"/>
      <c r="J23" s="545"/>
      <c r="K23" s="544"/>
      <c r="L23" s="544"/>
      <c r="M23" s="544"/>
      <c r="N23" s="544"/>
      <c r="O23" s="541"/>
      <c r="P23" s="541"/>
      <c r="Q23" s="541"/>
      <c r="R23" s="544"/>
      <c r="S23" s="66"/>
      <c r="T23" s="66"/>
      <c r="U23" s="544"/>
      <c r="V23" s="542"/>
      <c r="W23" s="562"/>
      <c r="X23" s="550"/>
      <c r="Y23" s="541"/>
    </row>
    <row r="24" ht="21.0" customHeight="1">
      <c r="A24" s="452"/>
      <c r="B24" s="453">
        <v>13.0</v>
      </c>
      <c r="C24" s="467"/>
      <c r="D24" s="528"/>
      <c r="E24" s="485"/>
      <c r="F24" s="460"/>
      <c r="G24" s="460"/>
      <c r="H24" s="453"/>
      <c r="I24" s="545"/>
      <c r="J24" s="545"/>
      <c r="K24" s="544"/>
      <c r="L24" s="544"/>
      <c r="M24" s="544"/>
      <c r="N24" s="544"/>
      <c r="O24" s="541"/>
      <c r="P24" s="541"/>
      <c r="Q24" s="541"/>
      <c r="R24" s="544"/>
      <c r="S24" s="66"/>
      <c r="T24" s="66"/>
      <c r="U24" s="544"/>
      <c r="V24" s="542"/>
      <c r="W24" s="561"/>
      <c r="X24" s="550"/>
      <c r="Y24" s="541"/>
    </row>
    <row r="25" ht="21.0" customHeight="1">
      <c r="A25" s="452"/>
      <c r="B25" s="453">
        <v>14.0</v>
      </c>
      <c r="C25" s="467"/>
      <c r="D25" s="528"/>
      <c r="E25" s="485"/>
      <c r="F25" s="460"/>
      <c r="G25" s="460"/>
      <c r="H25" s="453"/>
      <c r="I25" s="545"/>
      <c r="J25" s="545"/>
      <c r="K25" s="544"/>
      <c r="L25" s="544"/>
      <c r="M25" s="544"/>
      <c r="N25" s="544"/>
      <c r="O25" s="541"/>
      <c r="P25" s="541"/>
      <c r="Q25" s="541"/>
      <c r="R25" s="544"/>
      <c r="S25" s="66"/>
      <c r="T25" s="563"/>
      <c r="U25" s="544"/>
      <c r="V25" s="542"/>
      <c r="W25" s="561"/>
      <c r="X25" s="550"/>
      <c r="Y25" s="541"/>
    </row>
    <row r="26" ht="21.0" customHeight="1">
      <c r="A26" s="452"/>
      <c r="B26" s="453">
        <v>15.0</v>
      </c>
      <c r="C26" s="467"/>
      <c r="D26" s="484"/>
      <c r="E26" s="485"/>
      <c r="F26" s="460"/>
      <c r="G26" s="460"/>
      <c r="H26" s="453"/>
      <c r="I26" s="545"/>
      <c r="J26" s="545"/>
      <c r="K26" s="544"/>
      <c r="L26" s="544"/>
      <c r="M26" s="544"/>
      <c r="N26" s="544"/>
      <c r="O26" s="541"/>
      <c r="P26" s="541"/>
      <c r="Q26" s="541"/>
      <c r="R26" s="544"/>
      <c r="S26" s="66"/>
      <c r="T26" s="66"/>
      <c r="U26" s="544"/>
      <c r="V26" s="542"/>
      <c r="W26" s="561"/>
      <c r="X26" s="550"/>
      <c r="Y26" s="541"/>
    </row>
    <row r="27" ht="21.0" customHeight="1">
      <c r="A27" s="452"/>
      <c r="B27" s="453">
        <v>16.0</v>
      </c>
      <c r="C27" s="467"/>
      <c r="D27" s="528"/>
      <c r="E27" s="485"/>
      <c r="F27" s="460"/>
      <c r="G27" s="460"/>
      <c r="H27" s="453"/>
      <c r="I27" s="545"/>
      <c r="J27" s="545"/>
      <c r="K27" s="544"/>
      <c r="L27" s="544"/>
      <c r="M27" s="544"/>
      <c r="N27" s="544"/>
      <c r="O27" s="541"/>
      <c r="P27" s="541"/>
      <c r="Q27" s="541"/>
      <c r="R27" s="544"/>
      <c r="S27" s="66"/>
      <c r="T27" s="66"/>
      <c r="U27" s="544"/>
      <c r="V27" s="542"/>
      <c r="W27" s="542"/>
      <c r="X27" s="550"/>
      <c r="Y27" s="541"/>
    </row>
    <row r="28" ht="21.0" customHeight="1">
      <c r="A28" s="452"/>
      <c r="B28" s="453">
        <v>17.0</v>
      </c>
      <c r="C28" s="485"/>
      <c r="D28" s="531"/>
      <c r="E28" s="485"/>
      <c r="F28" s="460"/>
      <c r="G28" s="460"/>
      <c r="H28" s="453"/>
      <c r="I28" s="545"/>
      <c r="J28" s="545"/>
      <c r="K28" s="544"/>
      <c r="L28" s="544"/>
      <c r="M28" s="544"/>
      <c r="N28" s="544"/>
      <c r="O28" s="541"/>
      <c r="P28" s="541"/>
      <c r="Q28" s="541"/>
      <c r="R28" s="544"/>
      <c r="S28" s="66"/>
      <c r="T28" s="66"/>
      <c r="U28" s="544"/>
      <c r="V28" s="542"/>
      <c r="W28" s="542"/>
      <c r="X28" s="550"/>
      <c r="Y28" s="541"/>
    </row>
    <row r="29" ht="21.0" customHeight="1">
      <c r="A29" s="452"/>
      <c r="B29" s="453">
        <v>18.0</v>
      </c>
      <c r="C29" s="467"/>
      <c r="D29" s="528"/>
      <c r="E29" s="485"/>
      <c r="F29" s="460"/>
      <c r="G29" s="460"/>
      <c r="H29" s="453"/>
      <c r="I29" s="545"/>
      <c r="J29" s="545"/>
      <c r="K29" s="544"/>
      <c r="L29" s="544"/>
      <c r="M29" s="544"/>
      <c r="N29" s="544"/>
      <c r="O29" s="541"/>
      <c r="P29" s="541"/>
      <c r="Q29" s="541"/>
      <c r="R29" s="544"/>
      <c r="S29" s="66"/>
      <c r="T29" s="66"/>
      <c r="U29" s="544"/>
      <c r="V29" s="542"/>
      <c r="W29" s="542"/>
      <c r="X29" s="550"/>
      <c r="Y29" s="541"/>
    </row>
    <row r="30" ht="21.0" customHeight="1">
      <c r="A30" s="452"/>
      <c r="B30" s="453">
        <v>19.0</v>
      </c>
      <c r="C30" s="467"/>
      <c r="D30" s="528"/>
      <c r="E30" s="485"/>
      <c r="F30" s="460"/>
      <c r="G30" s="460"/>
      <c r="H30" s="453"/>
      <c r="I30" s="545"/>
      <c r="J30" s="545"/>
      <c r="K30" s="544"/>
      <c r="L30" s="544"/>
      <c r="M30" s="544"/>
      <c r="N30" s="544"/>
      <c r="O30" s="541"/>
      <c r="P30" s="541"/>
      <c r="Q30" s="541"/>
      <c r="R30" s="544"/>
      <c r="S30" s="66"/>
      <c r="T30" s="66"/>
      <c r="U30" s="544"/>
      <c r="V30" s="542"/>
      <c r="W30" s="561"/>
      <c r="X30" s="550"/>
      <c r="Y30" s="541"/>
    </row>
    <row r="31" ht="21.0" customHeight="1">
      <c r="A31" s="452"/>
      <c r="B31" s="453">
        <v>20.0</v>
      </c>
      <c r="C31" s="467"/>
      <c r="D31" s="528"/>
      <c r="E31" s="485"/>
      <c r="F31" s="460"/>
      <c r="G31" s="460"/>
      <c r="H31" s="453"/>
      <c r="I31" s="545"/>
      <c r="J31" s="545"/>
      <c r="K31" s="544"/>
      <c r="L31" s="544"/>
      <c r="M31" s="544"/>
      <c r="N31" s="544"/>
      <c r="O31" s="541"/>
      <c r="P31" s="541"/>
      <c r="Q31" s="541"/>
      <c r="R31" s="544"/>
      <c r="S31" s="66"/>
      <c r="T31" s="66"/>
      <c r="U31" s="544"/>
      <c r="V31" s="548"/>
      <c r="W31" s="544"/>
      <c r="X31" s="541"/>
      <c r="Y31" s="541"/>
    </row>
    <row r="32" ht="21.0" customHeight="1">
      <c r="A32" s="452"/>
      <c r="B32" s="453">
        <v>21.0</v>
      </c>
      <c r="C32" s="467"/>
      <c r="D32" s="528"/>
      <c r="E32" s="485"/>
      <c r="F32" s="460"/>
      <c r="G32" s="460"/>
      <c r="H32" s="453"/>
      <c r="I32" s="545"/>
      <c r="J32" s="545"/>
      <c r="K32" s="544"/>
      <c r="L32" s="544"/>
      <c r="M32" s="544"/>
      <c r="N32" s="544"/>
      <c r="O32" s="541"/>
      <c r="P32" s="541"/>
      <c r="Q32" s="541"/>
      <c r="R32" s="544"/>
      <c r="S32" s="66"/>
      <c r="T32" s="66"/>
      <c r="U32" s="544"/>
      <c r="V32" s="548"/>
      <c r="W32" s="544"/>
      <c r="X32" s="541"/>
      <c r="Y32" s="541"/>
    </row>
    <row r="33" ht="21.0" customHeight="1">
      <c r="A33" s="452"/>
      <c r="B33" s="453">
        <v>22.0</v>
      </c>
      <c r="C33" s="467"/>
      <c r="D33" s="536"/>
      <c r="E33" s="564"/>
      <c r="F33" s="460"/>
      <c r="G33" s="460"/>
      <c r="H33" s="453"/>
      <c r="I33" s="545"/>
      <c r="J33" s="545"/>
      <c r="K33" s="544"/>
      <c r="L33" s="544"/>
      <c r="M33" s="544"/>
      <c r="N33" s="544"/>
      <c r="O33" s="541"/>
      <c r="P33" s="541"/>
      <c r="Q33" s="541"/>
      <c r="R33" s="544"/>
      <c r="S33" s="544"/>
      <c r="T33" s="544"/>
      <c r="U33" s="544"/>
      <c r="V33" s="548"/>
      <c r="W33" s="544"/>
      <c r="X33" s="541"/>
      <c r="Y33" s="541"/>
    </row>
    <row r="34" ht="21.0" customHeight="1">
      <c r="A34" s="452"/>
      <c r="B34" s="453">
        <v>23.0</v>
      </c>
      <c r="C34" s="467"/>
      <c r="D34" s="536"/>
      <c r="E34" s="564"/>
      <c r="F34" s="460"/>
      <c r="G34" s="460"/>
      <c r="H34" s="453"/>
      <c r="I34" s="545"/>
      <c r="J34" s="545"/>
      <c r="K34" s="544"/>
      <c r="L34" s="544"/>
      <c r="M34" s="544"/>
      <c r="N34" s="544"/>
      <c r="O34" s="541"/>
      <c r="P34" s="541"/>
      <c r="Q34" s="541"/>
      <c r="R34" s="544"/>
      <c r="S34" s="544"/>
      <c r="T34" s="544"/>
      <c r="U34" s="544"/>
      <c r="V34" s="548"/>
      <c r="W34" s="544"/>
      <c r="X34" s="541"/>
      <c r="Y34" s="541"/>
    </row>
    <row r="35" ht="21.0" customHeight="1">
      <c r="A35" s="452"/>
      <c r="B35" s="453" t="s">
        <v>133</v>
      </c>
      <c r="C35" s="485"/>
      <c r="D35" s="565">
        <f>SUM(D12:D34)</f>
        <v>0</v>
      </c>
      <c r="E35" s="566"/>
      <c r="F35" s="460"/>
      <c r="G35" s="460"/>
      <c r="H35" s="453"/>
      <c r="I35" s="545"/>
      <c r="J35" s="545"/>
      <c r="K35" s="544"/>
      <c r="L35" s="544"/>
      <c r="M35" s="544"/>
      <c r="N35" s="544"/>
      <c r="O35" s="541"/>
      <c r="P35" s="541"/>
      <c r="Q35" s="541"/>
      <c r="R35" s="544"/>
      <c r="S35" s="544"/>
      <c r="T35" s="544"/>
      <c r="U35" s="544"/>
      <c r="V35" s="548"/>
      <c r="W35" s="544"/>
      <c r="X35" s="541"/>
      <c r="Y35" s="541"/>
    </row>
    <row r="36" ht="21.0" customHeight="1">
      <c r="A36" s="452"/>
      <c r="B36" s="453"/>
      <c r="C36" s="467"/>
      <c r="D36" s="528"/>
      <c r="E36" s="485"/>
      <c r="F36" s="460"/>
      <c r="G36" s="460"/>
      <c r="H36" s="453"/>
      <c r="I36" s="545"/>
      <c r="J36" s="545"/>
      <c r="K36" s="544"/>
      <c r="L36" s="544"/>
      <c r="M36" s="544"/>
      <c r="N36" s="544"/>
      <c r="O36" s="541"/>
      <c r="P36" s="541"/>
      <c r="Q36" s="541"/>
      <c r="R36" s="544"/>
      <c r="S36" s="544"/>
      <c r="T36" s="544"/>
      <c r="U36" s="544"/>
      <c r="V36" s="548"/>
      <c r="W36" s="544"/>
      <c r="X36" s="541"/>
      <c r="Y36" s="541"/>
    </row>
    <row r="37" ht="21.0" customHeight="1">
      <c r="A37" s="452"/>
      <c r="B37" s="453"/>
      <c r="C37" s="467"/>
      <c r="D37" s="528"/>
      <c r="E37" s="485"/>
      <c r="F37" s="460"/>
      <c r="G37" s="460"/>
      <c r="H37" s="453"/>
      <c r="I37" s="545"/>
      <c r="J37" s="545"/>
      <c r="K37" s="544"/>
      <c r="L37" s="544"/>
      <c r="M37" s="544"/>
      <c r="N37" s="544"/>
      <c r="O37" s="541"/>
      <c r="P37" s="541"/>
      <c r="Q37" s="541"/>
      <c r="R37" s="544"/>
      <c r="S37" s="544"/>
      <c r="T37" s="544"/>
      <c r="U37" s="544"/>
      <c r="V37" s="548"/>
      <c r="W37" s="544"/>
      <c r="X37" s="541"/>
      <c r="Y37" s="541"/>
    </row>
    <row r="38" ht="21.0" customHeight="1">
      <c r="A38" s="452"/>
      <c r="B38" s="453"/>
      <c r="C38" s="467"/>
      <c r="D38" s="528"/>
      <c r="E38" s="485"/>
      <c r="F38" s="460"/>
      <c r="G38" s="460"/>
      <c r="H38" s="453"/>
      <c r="I38" s="545"/>
      <c r="J38" s="545"/>
      <c r="K38" s="544"/>
      <c r="L38" s="544"/>
      <c r="M38" s="544"/>
      <c r="N38" s="544"/>
      <c r="O38" s="541"/>
      <c r="P38" s="541"/>
      <c r="Q38" s="541"/>
      <c r="R38" s="544"/>
      <c r="S38" s="544"/>
      <c r="T38" s="544"/>
      <c r="U38" s="544"/>
      <c r="V38" s="548"/>
      <c r="W38" s="544"/>
      <c r="X38" s="541"/>
      <c r="Y38" s="541"/>
    </row>
    <row r="39" ht="21.0" customHeight="1">
      <c r="A39" s="452"/>
      <c r="B39" s="453"/>
      <c r="C39" s="453"/>
      <c r="D39" s="526"/>
      <c r="E39" s="479"/>
      <c r="F39" s="460"/>
      <c r="G39" s="460"/>
      <c r="H39" s="453"/>
      <c r="I39" s="545"/>
      <c r="J39" s="545"/>
      <c r="K39" s="544"/>
      <c r="L39" s="544"/>
      <c r="M39" s="544"/>
      <c r="N39" s="544"/>
      <c r="O39" s="541"/>
      <c r="P39" s="541"/>
      <c r="Q39" s="541"/>
      <c r="R39" s="544"/>
      <c r="S39" s="544"/>
      <c r="T39" s="544"/>
      <c r="U39" s="544"/>
      <c r="V39" s="548"/>
      <c r="W39" s="544"/>
      <c r="X39" s="541"/>
      <c r="Y39" s="541"/>
    </row>
    <row r="40" ht="21.0" customHeight="1">
      <c r="A40" s="452"/>
      <c r="B40" s="453"/>
      <c r="C40" s="453"/>
      <c r="D40" s="453"/>
      <c r="E40" s="453"/>
      <c r="F40" s="460"/>
      <c r="G40" s="460"/>
      <c r="H40" s="453"/>
      <c r="I40" s="545"/>
      <c r="J40" s="545"/>
      <c r="K40" s="544"/>
      <c r="L40" s="544"/>
      <c r="M40" s="544"/>
      <c r="N40" s="544"/>
      <c r="O40" s="541"/>
      <c r="P40" s="541"/>
      <c r="Q40" s="541"/>
      <c r="R40" s="544"/>
      <c r="S40" s="544"/>
      <c r="T40" s="544"/>
      <c r="U40" s="544"/>
      <c r="V40" s="548"/>
      <c r="W40" s="544"/>
      <c r="X40" s="541"/>
      <c r="Y40" s="541"/>
      <c r="Z40" s="544"/>
    </row>
    <row r="41" ht="21.0" customHeight="1">
      <c r="A41" s="452"/>
      <c r="B41" s="453"/>
      <c r="C41" s="453"/>
      <c r="D41" s="453"/>
      <c r="E41" s="453"/>
      <c r="F41" s="460"/>
      <c r="G41" s="460"/>
      <c r="H41" s="453"/>
      <c r="I41" s="545"/>
      <c r="J41" s="545"/>
      <c r="K41" s="544"/>
      <c r="L41" s="544"/>
      <c r="M41" s="544"/>
      <c r="N41" s="544"/>
      <c r="O41" s="541"/>
      <c r="P41" s="541"/>
      <c r="Q41" s="541"/>
      <c r="R41" s="544"/>
      <c r="S41" s="544"/>
      <c r="T41" s="544"/>
      <c r="U41" s="544"/>
      <c r="V41" s="548"/>
      <c r="W41" s="544"/>
      <c r="X41" s="541"/>
      <c r="Y41" s="541"/>
      <c r="Z41" s="544"/>
    </row>
    <row r="42" ht="21.0" customHeight="1">
      <c r="A42" s="452"/>
      <c r="B42" s="453"/>
      <c r="C42" s="453"/>
      <c r="D42" s="453"/>
      <c r="E42" s="453"/>
      <c r="F42" s="460"/>
      <c r="G42" s="460"/>
      <c r="H42" s="453"/>
      <c r="I42" s="545"/>
      <c r="J42" s="545"/>
      <c r="K42" s="544"/>
      <c r="L42" s="544"/>
      <c r="M42" s="544"/>
      <c r="N42" s="544"/>
      <c r="O42" s="541"/>
      <c r="P42" s="541"/>
      <c r="Q42" s="541"/>
      <c r="R42" s="544"/>
      <c r="S42" s="544"/>
      <c r="T42" s="544"/>
      <c r="U42" s="544"/>
      <c r="V42" s="548"/>
      <c r="W42" s="544"/>
      <c r="X42" s="541"/>
      <c r="Y42" s="541"/>
      <c r="Z42" s="544"/>
    </row>
    <row r="43" ht="21.0" customHeight="1">
      <c r="A43" s="452"/>
      <c r="B43" s="453"/>
      <c r="C43" s="453"/>
      <c r="D43" s="453"/>
      <c r="E43" s="453"/>
      <c r="F43" s="460"/>
      <c r="G43" s="460"/>
      <c r="H43" s="453"/>
      <c r="I43" s="545"/>
      <c r="J43" s="545"/>
      <c r="K43" s="544"/>
      <c r="L43" s="544"/>
      <c r="M43" s="544"/>
      <c r="N43" s="544"/>
      <c r="O43" s="541"/>
      <c r="P43" s="541"/>
      <c r="Q43" s="541"/>
      <c r="R43" s="544"/>
      <c r="S43" s="544"/>
      <c r="T43" s="544"/>
      <c r="U43" s="544"/>
      <c r="V43" s="548"/>
      <c r="W43" s="544"/>
      <c r="X43" s="541"/>
      <c r="Y43" s="541"/>
      <c r="Z43" s="544"/>
    </row>
    <row r="44" ht="21.0" customHeight="1">
      <c r="A44" s="452"/>
      <c r="B44" s="453"/>
      <c r="C44" s="453"/>
      <c r="D44" s="453"/>
      <c r="E44" s="453"/>
      <c r="F44" s="460"/>
      <c r="G44" s="460"/>
      <c r="H44" s="453"/>
      <c r="I44" s="545"/>
      <c r="J44" s="545"/>
      <c r="K44" s="544"/>
      <c r="L44" s="544"/>
      <c r="M44" s="544"/>
      <c r="N44" s="544"/>
      <c r="O44" s="541"/>
      <c r="P44" s="541"/>
      <c r="Q44" s="541"/>
      <c r="R44" s="544"/>
      <c r="S44" s="544"/>
      <c r="T44" s="544"/>
      <c r="U44" s="544"/>
      <c r="V44" s="548"/>
      <c r="W44" s="544"/>
      <c r="X44" s="541"/>
      <c r="Y44" s="541"/>
      <c r="Z44" s="544"/>
    </row>
    <row r="45" ht="21.0" customHeight="1">
      <c r="A45" s="452"/>
      <c r="B45" s="453"/>
      <c r="C45" s="453"/>
      <c r="D45" s="453"/>
      <c r="E45" s="453"/>
      <c r="F45" s="460"/>
      <c r="G45" s="460"/>
      <c r="H45" s="453"/>
      <c r="I45" s="545"/>
      <c r="J45" s="545"/>
      <c r="K45" s="544"/>
      <c r="L45" s="544"/>
      <c r="M45" s="544"/>
      <c r="N45" s="544"/>
      <c r="O45" s="541"/>
      <c r="P45" s="541"/>
      <c r="Q45" s="541"/>
      <c r="R45" s="544"/>
      <c r="S45" s="544"/>
      <c r="T45" s="544"/>
      <c r="U45" s="544"/>
      <c r="V45" s="548"/>
      <c r="W45" s="544"/>
      <c r="X45" s="541"/>
      <c r="Y45" s="541"/>
      <c r="Z45" s="544"/>
    </row>
    <row r="46" ht="21.0" customHeight="1">
      <c r="A46" s="452"/>
      <c r="B46" s="453"/>
      <c r="C46" s="453"/>
      <c r="D46" s="453"/>
      <c r="E46" s="453"/>
      <c r="F46" s="460"/>
      <c r="G46" s="460"/>
      <c r="H46" s="453"/>
      <c r="I46" s="545"/>
      <c r="J46" s="545"/>
      <c r="K46" s="544"/>
      <c r="L46" s="544"/>
      <c r="M46" s="544"/>
      <c r="N46" s="544"/>
      <c r="O46" s="541"/>
      <c r="P46" s="541"/>
      <c r="Q46" s="541"/>
      <c r="R46" s="544"/>
      <c r="S46" s="544"/>
      <c r="T46" s="544"/>
      <c r="U46" s="544"/>
      <c r="V46" s="548"/>
      <c r="W46" s="544"/>
      <c r="X46" s="541"/>
      <c r="Y46" s="541"/>
      <c r="Z46" s="544"/>
    </row>
    <row r="47" ht="21.0" customHeight="1">
      <c r="A47" s="452"/>
      <c r="B47" s="453"/>
      <c r="C47" s="453"/>
      <c r="D47" s="453"/>
      <c r="E47" s="453"/>
      <c r="F47" s="460"/>
      <c r="G47" s="460"/>
      <c r="H47" s="453"/>
      <c r="I47" s="545"/>
      <c r="J47" s="545"/>
      <c r="K47" s="544"/>
      <c r="L47" s="544"/>
      <c r="M47" s="544"/>
      <c r="N47" s="544"/>
      <c r="O47" s="541"/>
      <c r="P47" s="541"/>
      <c r="Q47" s="541"/>
      <c r="R47" s="544"/>
      <c r="S47" s="544"/>
      <c r="T47" s="544"/>
      <c r="U47" s="544"/>
      <c r="V47" s="548"/>
      <c r="W47" s="544"/>
      <c r="X47" s="541"/>
      <c r="Y47" s="541"/>
      <c r="Z47" s="544"/>
    </row>
    <row r="48" ht="21.0" customHeight="1">
      <c r="A48" s="452"/>
      <c r="B48" s="453"/>
      <c r="C48" s="453"/>
      <c r="D48" s="453"/>
      <c r="E48" s="453"/>
      <c r="F48" s="460"/>
      <c r="G48" s="460"/>
      <c r="H48" s="453"/>
      <c r="I48" s="545"/>
      <c r="J48" s="545"/>
      <c r="K48" s="544"/>
      <c r="L48" s="544"/>
      <c r="M48" s="544"/>
      <c r="N48" s="544"/>
      <c r="O48" s="541"/>
      <c r="P48" s="541"/>
      <c r="Q48" s="541"/>
      <c r="R48" s="544"/>
      <c r="S48" s="544"/>
      <c r="T48" s="544"/>
      <c r="U48" s="544"/>
      <c r="V48" s="548"/>
      <c r="W48" s="544"/>
      <c r="X48" s="541"/>
      <c r="Y48" s="541"/>
      <c r="Z48" s="544"/>
    </row>
    <row r="49" ht="21.0" customHeight="1">
      <c r="A49" s="452"/>
      <c r="B49" s="453"/>
      <c r="C49" s="453"/>
      <c r="D49" s="453"/>
      <c r="E49" s="453"/>
      <c r="F49" s="460"/>
      <c r="G49" s="460"/>
      <c r="H49" s="453"/>
      <c r="I49" s="545"/>
      <c r="J49" s="545"/>
      <c r="K49" s="544"/>
      <c r="L49" s="544"/>
      <c r="M49" s="544"/>
      <c r="N49" s="544"/>
      <c r="O49" s="541"/>
      <c r="P49" s="541"/>
      <c r="Q49" s="541"/>
      <c r="R49" s="544"/>
      <c r="S49" s="544"/>
      <c r="T49" s="544"/>
      <c r="U49" s="544"/>
      <c r="V49" s="548"/>
      <c r="W49" s="544"/>
      <c r="X49" s="541"/>
      <c r="Y49" s="541"/>
      <c r="Z49" s="544"/>
    </row>
    <row r="50" ht="21.0" customHeight="1">
      <c r="A50" s="452"/>
      <c r="B50" s="453"/>
      <c r="C50" s="453"/>
      <c r="D50" s="453"/>
      <c r="E50" s="453"/>
      <c r="F50" s="460"/>
      <c r="G50" s="460"/>
      <c r="H50" s="453"/>
      <c r="I50" s="545"/>
      <c r="J50" s="545"/>
      <c r="K50" s="544"/>
      <c r="L50" s="544"/>
      <c r="M50" s="544"/>
      <c r="N50" s="544"/>
      <c r="O50" s="541"/>
      <c r="P50" s="541"/>
      <c r="Q50" s="541"/>
      <c r="R50" s="544"/>
      <c r="S50" s="544"/>
      <c r="T50" s="544"/>
      <c r="U50" s="544"/>
      <c r="V50" s="548"/>
      <c r="W50" s="544"/>
      <c r="X50" s="541"/>
      <c r="Y50" s="541"/>
      <c r="Z50" s="544"/>
    </row>
    <row r="51" ht="21.0" customHeight="1">
      <c r="A51" s="452"/>
      <c r="B51" s="453"/>
      <c r="C51" s="453"/>
      <c r="D51" s="453"/>
      <c r="E51" s="453"/>
      <c r="F51" s="460"/>
      <c r="G51" s="460"/>
      <c r="H51" s="453"/>
      <c r="I51" s="545"/>
      <c r="J51" s="545"/>
      <c r="K51" s="544"/>
      <c r="L51" s="544"/>
      <c r="M51" s="544"/>
      <c r="N51" s="544"/>
      <c r="O51" s="541"/>
      <c r="P51" s="541"/>
      <c r="Q51" s="541"/>
      <c r="R51" s="544"/>
      <c r="S51" s="544"/>
      <c r="T51" s="544"/>
      <c r="U51" s="544"/>
      <c r="V51" s="548"/>
      <c r="W51" s="544"/>
      <c r="X51" s="541"/>
      <c r="Y51" s="541"/>
      <c r="Z51" s="544"/>
    </row>
    <row r="52" ht="21.0" customHeight="1">
      <c r="A52" s="452"/>
      <c r="B52" s="453"/>
      <c r="C52" s="453"/>
      <c r="D52" s="453"/>
      <c r="E52" s="453"/>
      <c r="F52" s="460"/>
      <c r="G52" s="460"/>
      <c r="H52" s="453"/>
      <c r="I52" s="545"/>
      <c r="J52" s="545"/>
      <c r="K52" s="544"/>
      <c r="L52" s="544"/>
      <c r="M52" s="544"/>
      <c r="N52" s="544"/>
      <c r="O52" s="541"/>
      <c r="P52" s="541"/>
      <c r="Q52" s="541"/>
      <c r="R52" s="544"/>
      <c r="S52" s="544"/>
      <c r="T52" s="544"/>
      <c r="U52" s="544"/>
      <c r="V52" s="548"/>
      <c r="W52" s="544"/>
      <c r="X52" s="541"/>
      <c r="Y52" s="541"/>
      <c r="Z52" s="544"/>
    </row>
    <row r="53" ht="21.0" customHeight="1">
      <c r="A53" s="452"/>
      <c r="B53" s="453"/>
      <c r="C53" s="453"/>
      <c r="D53" s="453"/>
      <c r="E53" s="453"/>
      <c r="F53" s="460"/>
      <c r="G53" s="460"/>
      <c r="H53" s="453"/>
      <c r="I53" s="545"/>
      <c r="J53" s="545"/>
      <c r="K53" s="544"/>
      <c r="L53" s="544"/>
      <c r="M53" s="544"/>
      <c r="N53" s="544"/>
      <c r="O53" s="541"/>
      <c r="P53" s="541"/>
      <c r="Q53" s="541"/>
      <c r="R53" s="544"/>
      <c r="S53" s="544"/>
      <c r="T53" s="544"/>
      <c r="U53" s="544"/>
      <c r="V53" s="548"/>
      <c r="W53" s="544"/>
      <c r="X53" s="541"/>
      <c r="Y53" s="541"/>
      <c r="Z53" s="544"/>
    </row>
    <row r="54" ht="21.0" customHeight="1">
      <c r="A54" s="452"/>
      <c r="B54" s="453"/>
      <c r="C54" s="453"/>
      <c r="D54" s="453"/>
      <c r="E54" s="453"/>
      <c r="F54" s="460"/>
      <c r="G54" s="460"/>
      <c r="H54" s="453"/>
      <c r="I54" s="545"/>
      <c r="J54" s="545"/>
      <c r="K54" s="544"/>
      <c r="L54" s="544"/>
      <c r="M54" s="544"/>
      <c r="N54" s="544"/>
      <c r="O54" s="541"/>
      <c r="P54" s="541"/>
      <c r="Q54" s="541"/>
      <c r="R54" s="544"/>
      <c r="S54" s="544"/>
      <c r="T54" s="544"/>
      <c r="U54" s="544"/>
      <c r="V54" s="548"/>
      <c r="W54" s="544"/>
      <c r="X54" s="541"/>
      <c r="Y54" s="541"/>
      <c r="Z54" s="544"/>
    </row>
    <row r="55" ht="21.0" customHeight="1">
      <c r="A55" s="452"/>
      <c r="B55" s="453"/>
      <c r="C55" s="453"/>
      <c r="D55" s="453"/>
      <c r="E55" s="453"/>
      <c r="F55" s="460"/>
      <c r="G55" s="460"/>
      <c r="H55" s="453"/>
      <c r="I55" s="545"/>
      <c r="J55" s="545"/>
      <c r="K55" s="544"/>
      <c r="L55" s="544"/>
      <c r="M55" s="544"/>
      <c r="N55" s="544"/>
      <c r="O55" s="541"/>
      <c r="P55" s="541"/>
      <c r="Q55" s="541"/>
      <c r="R55" s="544"/>
      <c r="S55" s="544"/>
      <c r="T55" s="544"/>
      <c r="U55" s="544"/>
      <c r="V55" s="548"/>
      <c r="W55" s="544"/>
      <c r="X55" s="541"/>
      <c r="Y55" s="541"/>
      <c r="Z55" s="544"/>
    </row>
    <row r="56" ht="21.0" customHeight="1">
      <c r="A56" s="452"/>
      <c r="B56" s="453"/>
      <c r="C56" s="453"/>
      <c r="D56" s="453"/>
      <c r="E56" s="453"/>
      <c r="F56" s="460"/>
      <c r="G56" s="460"/>
      <c r="H56" s="453"/>
      <c r="I56" s="545"/>
      <c r="J56" s="545"/>
      <c r="K56" s="544"/>
      <c r="L56" s="544"/>
      <c r="M56" s="544"/>
      <c r="N56" s="544"/>
      <c r="O56" s="541"/>
      <c r="P56" s="541"/>
      <c r="Q56" s="541"/>
      <c r="R56" s="544"/>
      <c r="S56" s="544"/>
      <c r="T56" s="544"/>
      <c r="U56" s="544"/>
      <c r="V56" s="548"/>
      <c r="W56" s="544"/>
      <c r="X56" s="541"/>
      <c r="Y56" s="541"/>
      <c r="Z56" s="544"/>
    </row>
    <row r="57" ht="21.0" customHeight="1">
      <c r="A57" s="452"/>
      <c r="B57" s="453"/>
      <c r="C57" s="453"/>
      <c r="D57" s="453"/>
      <c r="E57" s="453"/>
      <c r="F57" s="460"/>
      <c r="G57" s="460"/>
      <c r="H57" s="453"/>
      <c r="I57" s="545"/>
      <c r="J57" s="545"/>
      <c r="K57" s="544"/>
      <c r="L57" s="544"/>
      <c r="M57" s="544"/>
      <c r="N57" s="544"/>
      <c r="O57" s="541"/>
      <c r="P57" s="541"/>
      <c r="Q57" s="541"/>
      <c r="R57" s="544"/>
      <c r="S57" s="544"/>
      <c r="T57" s="544"/>
      <c r="U57" s="544"/>
      <c r="V57" s="548"/>
      <c r="W57" s="544"/>
      <c r="X57" s="541"/>
      <c r="Y57" s="541"/>
      <c r="Z57" s="544"/>
    </row>
    <row r="58" ht="21.0" customHeight="1">
      <c r="A58" s="452"/>
      <c r="B58" s="453"/>
      <c r="C58" s="453"/>
      <c r="D58" s="453"/>
      <c r="E58" s="453"/>
      <c r="F58" s="460"/>
      <c r="G58" s="460"/>
      <c r="H58" s="453"/>
      <c r="I58" s="545"/>
      <c r="J58" s="545"/>
      <c r="K58" s="544"/>
      <c r="L58" s="544"/>
      <c r="M58" s="544"/>
      <c r="N58" s="544"/>
      <c r="O58" s="541"/>
      <c r="P58" s="541"/>
      <c r="Q58" s="541"/>
      <c r="R58" s="544"/>
      <c r="S58" s="544"/>
      <c r="T58" s="544"/>
      <c r="U58" s="544"/>
      <c r="V58" s="548"/>
      <c r="W58" s="544"/>
      <c r="X58" s="541"/>
      <c r="Y58" s="541"/>
      <c r="Z58" s="541"/>
    </row>
    <row r="59" ht="21.0" customHeight="1">
      <c r="A59" s="452"/>
      <c r="B59" s="453"/>
      <c r="C59" s="453"/>
      <c r="D59" s="453"/>
      <c r="E59" s="453"/>
      <c r="F59" s="460"/>
      <c r="G59" s="460"/>
      <c r="H59" s="453"/>
      <c r="I59" s="545"/>
      <c r="J59" s="545"/>
      <c r="K59" s="544"/>
      <c r="L59" s="544"/>
      <c r="M59" s="544"/>
      <c r="N59" s="544"/>
      <c r="O59" s="541"/>
      <c r="P59" s="541"/>
      <c r="Q59" s="541"/>
      <c r="R59" s="544"/>
      <c r="S59" s="544"/>
      <c r="T59" s="544"/>
      <c r="U59" s="544"/>
      <c r="V59" s="548"/>
      <c r="W59" s="544"/>
      <c r="X59" s="541"/>
      <c r="Y59" s="541"/>
      <c r="Z59" s="541"/>
    </row>
    <row r="60" ht="21.0" customHeight="1">
      <c r="A60" s="452"/>
      <c r="B60" s="453"/>
      <c r="C60" s="453"/>
      <c r="D60" s="453"/>
      <c r="E60" s="453"/>
      <c r="F60" s="460"/>
      <c r="G60" s="460"/>
      <c r="H60" s="453"/>
      <c r="I60" s="545"/>
      <c r="J60" s="545"/>
      <c r="K60" s="544"/>
      <c r="L60" s="544"/>
      <c r="M60" s="544"/>
      <c r="N60" s="544"/>
      <c r="O60" s="541"/>
      <c r="P60" s="541"/>
      <c r="Q60" s="541"/>
      <c r="R60" s="544"/>
      <c r="S60" s="544"/>
      <c r="T60" s="544"/>
      <c r="U60" s="544"/>
      <c r="V60" s="548"/>
      <c r="W60" s="544"/>
      <c r="X60" s="541"/>
      <c r="Y60" s="541"/>
      <c r="Z60" s="541"/>
    </row>
    <row r="61" ht="21.0" customHeight="1">
      <c r="A61" s="452"/>
      <c r="B61" s="453"/>
      <c r="C61" s="453"/>
      <c r="D61" s="453"/>
      <c r="E61" s="453"/>
      <c r="F61" s="460"/>
      <c r="G61" s="460"/>
      <c r="H61" s="453"/>
      <c r="I61" s="545"/>
      <c r="J61" s="545"/>
      <c r="K61" s="544"/>
      <c r="L61" s="544"/>
      <c r="M61" s="544"/>
      <c r="N61" s="544"/>
      <c r="O61" s="541"/>
      <c r="P61" s="541"/>
      <c r="Q61" s="541"/>
      <c r="R61" s="544"/>
      <c r="S61" s="544"/>
      <c r="T61" s="544"/>
      <c r="U61" s="544"/>
      <c r="V61" s="548"/>
      <c r="W61" s="544"/>
      <c r="X61" s="541"/>
      <c r="Y61" s="541"/>
      <c r="Z61" s="541"/>
    </row>
    <row r="62" ht="21.0" customHeight="1">
      <c r="A62" s="452"/>
      <c r="B62" s="453"/>
      <c r="C62" s="453"/>
      <c r="D62" s="453"/>
      <c r="E62" s="453"/>
      <c r="F62" s="460"/>
      <c r="G62" s="460"/>
      <c r="H62" s="453"/>
      <c r="I62" s="545"/>
      <c r="J62" s="545"/>
      <c r="K62" s="544"/>
      <c r="L62" s="544"/>
      <c r="M62" s="544"/>
      <c r="N62" s="544"/>
      <c r="O62" s="541"/>
      <c r="P62" s="541"/>
      <c r="Q62" s="541"/>
      <c r="R62" s="544"/>
      <c r="S62" s="544"/>
      <c r="T62" s="544"/>
      <c r="U62" s="544"/>
      <c r="V62" s="548"/>
      <c r="W62" s="544"/>
      <c r="X62" s="541"/>
      <c r="Y62" s="541"/>
      <c r="Z62" s="541"/>
    </row>
    <row r="63" ht="21.0" customHeight="1">
      <c r="A63" s="452"/>
      <c r="B63" s="453"/>
      <c r="C63" s="453"/>
      <c r="D63" s="453"/>
      <c r="E63" s="453"/>
      <c r="F63" s="460"/>
      <c r="G63" s="460"/>
      <c r="H63" s="453"/>
      <c r="I63" s="545"/>
      <c r="J63" s="545"/>
      <c r="K63" s="544"/>
      <c r="L63" s="544"/>
      <c r="M63" s="544"/>
      <c r="N63" s="544"/>
      <c r="O63" s="541"/>
      <c r="P63" s="541"/>
      <c r="Q63" s="541"/>
      <c r="R63" s="544"/>
      <c r="S63" s="544"/>
      <c r="T63" s="544"/>
      <c r="U63" s="544"/>
      <c r="V63" s="548"/>
      <c r="W63" s="544"/>
      <c r="X63" s="541"/>
      <c r="Y63" s="541"/>
      <c r="Z63" s="541"/>
    </row>
    <row r="64" ht="21.0" customHeight="1">
      <c r="A64" s="452"/>
      <c r="B64" s="453"/>
      <c r="C64" s="453"/>
      <c r="D64" s="453"/>
      <c r="E64" s="453"/>
      <c r="F64" s="460"/>
      <c r="G64" s="460"/>
      <c r="H64" s="453"/>
      <c r="I64" s="545"/>
      <c r="J64" s="545"/>
      <c r="K64" s="544"/>
      <c r="L64" s="544"/>
      <c r="M64" s="544"/>
      <c r="N64" s="544"/>
      <c r="O64" s="541"/>
      <c r="P64" s="541"/>
      <c r="Q64" s="541"/>
      <c r="R64" s="544"/>
      <c r="S64" s="544"/>
      <c r="T64" s="544"/>
      <c r="U64" s="544"/>
      <c r="V64" s="548"/>
      <c r="W64" s="544"/>
      <c r="X64" s="541"/>
      <c r="Y64" s="541"/>
      <c r="Z64" s="541"/>
    </row>
    <row r="65" ht="21.0" customHeight="1">
      <c r="A65" s="452"/>
      <c r="B65" s="453"/>
      <c r="C65" s="453"/>
      <c r="D65" s="453"/>
      <c r="E65" s="453"/>
      <c r="F65" s="460"/>
      <c r="G65" s="460"/>
      <c r="H65" s="453"/>
      <c r="I65" s="545"/>
      <c r="J65" s="545"/>
      <c r="K65" s="544"/>
      <c r="L65" s="544"/>
      <c r="M65" s="544"/>
      <c r="N65" s="544"/>
      <c r="O65" s="541"/>
      <c r="P65" s="541"/>
      <c r="Q65" s="541"/>
      <c r="R65" s="544"/>
      <c r="S65" s="544"/>
      <c r="T65" s="544"/>
      <c r="U65" s="544"/>
      <c r="V65" s="548"/>
      <c r="W65" s="544"/>
      <c r="X65" s="541"/>
      <c r="Y65" s="541"/>
      <c r="Z65" s="541"/>
    </row>
    <row r="66" ht="21.0" customHeight="1">
      <c r="A66" s="452"/>
      <c r="B66" s="453"/>
      <c r="C66" s="453"/>
      <c r="D66" s="453"/>
      <c r="E66" s="453"/>
      <c r="F66" s="460"/>
      <c r="G66" s="460"/>
      <c r="H66" s="453"/>
      <c r="I66" s="545"/>
      <c r="J66" s="545"/>
      <c r="K66" s="544"/>
      <c r="L66" s="544"/>
      <c r="M66" s="544"/>
      <c r="N66" s="544"/>
      <c r="O66" s="541"/>
      <c r="P66" s="541"/>
      <c r="Q66" s="541"/>
      <c r="R66" s="544"/>
      <c r="S66" s="544"/>
      <c r="T66" s="544"/>
      <c r="U66" s="544"/>
      <c r="V66" s="548"/>
      <c r="W66" s="544"/>
      <c r="X66" s="541"/>
      <c r="Y66" s="541"/>
      <c r="Z66" s="541"/>
    </row>
    <row r="67" ht="21.0" customHeight="1">
      <c r="A67" s="452"/>
      <c r="B67" s="453"/>
      <c r="C67" s="453"/>
      <c r="D67" s="453"/>
      <c r="E67" s="453"/>
      <c r="F67" s="460"/>
      <c r="G67" s="460"/>
      <c r="H67" s="453"/>
      <c r="I67" s="545"/>
      <c r="J67" s="545"/>
      <c r="K67" s="544"/>
      <c r="L67" s="544"/>
      <c r="M67" s="544"/>
      <c r="N67" s="544"/>
      <c r="O67" s="541"/>
      <c r="P67" s="541"/>
      <c r="Q67" s="541"/>
      <c r="R67" s="544"/>
      <c r="S67" s="544"/>
      <c r="T67" s="544"/>
      <c r="U67" s="544"/>
      <c r="V67" s="548"/>
      <c r="W67" s="544"/>
      <c r="X67" s="541"/>
      <c r="Y67" s="541"/>
      <c r="Z67" s="541"/>
    </row>
    <row r="68" ht="21.0" customHeight="1">
      <c r="A68" s="452"/>
      <c r="B68" s="453"/>
      <c r="C68" s="453"/>
      <c r="D68" s="453"/>
      <c r="E68" s="453"/>
      <c r="F68" s="460"/>
      <c r="G68" s="460"/>
      <c r="H68" s="453"/>
      <c r="I68" s="545"/>
      <c r="J68" s="545"/>
      <c r="K68" s="544"/>
      <c r="L68" s="544"/>
      <c r="M68" s="544"/>
      <c r="N68" s="544"/>
      <c r="O68" s="541"/>
      <c r="P68" s="541"/>
      <c r="Q68" s="541"/>
      <c r="R68" s="544"/>
      <c r="S68" s="544"/>
      <c r="T68" s="544"/>
      <c r="U68" s="544"/>
      <c r="V68" s="548"/>
      <c r="W68" s="544"/>
      <c r="X68" s="541"/>
      <c r="Y68" s="541"/>
      <c r="Z68" s="541"/>
    </row>
    <row r="69" ht="21.0" customHeight="1">
      <c r="A69" s="452"/>
      <c r="B69" s="453"/>
      <c r="C69" s="453"/>
      <c r="D69" s="453"/>
      <c r="E69" s="453"/>
      <c r="F69" s="460"/>
      <c r="G69" s="460"/>
      <c r="H69" s="453"/>
      <c r="I69" s="545"/>
      <c r="J69" s="545"/>
      <c r="K69" s="544"/>
      <c r="L69" s="544"/>
      <c r="M69" s="544"/>
      <c r="N69" s="544"/>
      <c r="O69" s="541"/>
      <c r="P69" s="541"/>
      <c r="Q69" s="541"/>
      <c r="R69" s="544"/>
      <c r="S69" s="544"/>
      <c r="T69" s="544"/>
      <c r="U69" s="544"/>
      <c r="V69" s="548"/>
      <c r="W69" s="544"/>
      <c r="X69" s="541"/>
      <c r="Y69" s="541"/>
      <c r="Z69" s="541"/>
    </row>
    <row r="70" ht="21.0" customHeight="1">
      <c r="A70" s="452"/>
      <c r="B70" s="453"/>
      <c r="C70" s="453"/>
      <c r="D70" s="453"/>
      <c r="E70" s="453"/>
      <c r="F70" s="460"/>
      <c r="G70" s="460"/>
      <c r="H70" s="453"/>
      <c r="I70" s="545"/>
      <c r="J70" s="545"/>
      <c r="K70" s="544"/>
      <c r="L70" s="544"/>
      <c r="M70" s="544"/>
      <c r="N70" s="544"/>
      <c r="O70" s="541"/>
      <c r="P70" s="541"/>
      <c r="Q70" s="541"/>
      <c r="R70" s="544"/>
      <c r="S70" s="544"/>
      <c r="T70" s="544"/>
      <c r="U70" s="544"/>
      <c r="V70" s="548"/>
      <c r="W70" s="544"/>
      <c r="X70" s="541"/>
      <c r="Y70" s="541"/>
      <c r="Z70" s="541"/>
    </row>
    <row r="71" ht="21.0" customHeight="1">
      <c r="A71" s="452"/>
      <c r="B71" s="453"/>
      <c r="C71" s="453"/>
      <c r="D71" s="453"/>
      <c r="E71" s="453"/>
      <c r="F71" s="460"/>
      <c r="G71" s="460"/>
      <c r="H71" s="453"/>
      <c r="I71" s="545"/>
      <c r="J71" s="545"/>
      <c r="K71" s="544"/>
      <c r="L71" s="544"/>
      <c r="M71" s="544"/>
      <c r="N71" s="544"/>
      <c r="O71" s="541"/>
      <c r="P71" s="541"/>
      <c r="Q71" s="541"/>
      <c r="R71" s="544"/>
      <c r="S71" s="544"/>
      <c r="T71" s="544"/>
      <c r="U71" s="544"/>
      <c r="V71" s="548"/>
      <c r="W71" s="544"/>
      <c r="X71" s="541"/>
      <c r="Y71" s="541"/>
      <c r="Z71" s="541"/>
    </row>
    <row r="72" ht="21.0" customHeight="1">
      <c r="A72" s="452"/>
      <c r="B72" s="453"/>
      <c r="C72" s="453"/>
      <c r="D72" s="453"/>
      <c r="E72" s="453"/>
      <c r="F72" s="460"/>
      <c r="G72" s="460"/>
      <c r="H72" s="453"/>
      <c r="I72" s="545"/>
      <c r="J72" s="545"/>
      <c r="K72" s="544"/>
      <c r="L72" s="544"/>
      <c r="M72" s="544"/>
      <c r="N72" s="544"/>
      <c r="O72" s="541"/>
      <c r="P72" s="541"/>
      <c r="Q72" s="541"/>
      <c r="R72" s="544"/>
      <c r="S72" s="544"/>
      <c r="T72" s="544"/>
      <c r="U72" s="544"/>
      <c r="V72" s="548"/>
      <c r="W72" s="544"/>
      <c r="X72" s="541"/>
      <c r="Y72" s="541"/>
      <c r="Z72" s="541"/>
    </row>
    <row r="73" ht="21.0" customHeight="1">
      <c r="A73" s="452"/>
      <c r="B73" s="453"/>
      <c r="C73" s="453"/>
      <c r="D73" s="453"/>
      <c r="E73" s="453"/>
      <c r="F73" s="460"/>
      <c r="G73" s="460"/>
      <c r="H73" s="453"/>
      <c r="I73" s="545"/>
      <c r="J73" s="545"/>
      <c r="K73" s="544"/>
      <c r="L73" s="544"/>
      <c r="M73" s="544"/>
      <c r="N73" s="544"/>
      <c r="O73" s="541"/>
      <c r="P73" s="541"/>
      <c r="Q73" s="541"/>
      <c r="R73" s="544"/>
      <c r="S73" s="544"/>
      <c r="T73" s="544"/>
      <c r="U73" s="544"/>
      <c r="V73" s="548"/>
      <c r="W73" s="544"/>
      <c r="X73" s="541"/>
      <c r="Y73" s="541"/>
      <c r="Z73" s="541"/>
    </row>
    <row r="74" ht="21.0" customHeight="1">
      <c r="A74" s="452"/>
      <c r="B74" s="453"/>
      <c r="C74" s="453"/>
      <c r="D74" s="453"/>
      <c r="E74" s="453"/>
      <c r="F74" s="460"/>
      <c r="G74" s="460"/>
      <c r="H74" s="453"/>
      <c r="I74" s="545"/>
      <c r="J74" s="545"/>
      <c r="K74" s="544"/>
      <c r="L74" s="544"/>
      <c r="M74" s="544"/>
      <c r="N74" s="544"/>
      <c r="O74" s="541"/>
      <c r="P74" s="541"/>
      <c r="Q74" s="541"/>
      <c r="R74" s="544"/>
      <c r="S74" s="544"/>
      <c r="T74" s="544"/>
      <c r="U74" s="544"/>
      <c r="V74" s="548"/>
      <c r="W74" s="544"/>
      <c r="X74" s="541"/>
      <c r="Y74" s="541"/>
      <c r="Z74" s="541"/>
    </row>
    <row r="75" ht="21.0" customHeight="1">
      <c r="A75" s="452"/>
      <c r="B75" s="453"/>
      <c r="C75" s="453"/>
      <c r="D75" s="453"/>
      <c r="E75" s="453"/>
      <c r="F75" s="460"/>
      <c r="G75" s="460"/>
      <c r="H75" s="453"/>
      <c r="I75" s="545"/>
      <c r="J75" s="545"/>
      <c r="K75" s="544"/>
      <c r="L75" s="544"/>
      <c r="M75" s="544"/>
      <c r="N75" s="544"/>
      <c r="O75" s="541"/>
      <c r="P75" s="541"/>
      <c r="Q75" s="541"/>
      <c r="R75" s="544"/>
      <c r="S75" s="544"/>
      <c r="T75" s="544"/>
      <c r="U75" s="544"/>
      <c r="V75" s="548"/>
      <c r="W75" s="544"/>
      <c r="X75" s="541"/>
      <c r="Y75" s="541"/>
      <c r="Z75" s="541"/>
    </row>
    <row r="76" ht="21.0" customHeight="1">
      <c r="A76" s="452"/>
      <c r="B76" s="453"/>
      <c r="C76" s="453"/>
      <c r="D76" s="453"/>
      <c r="E76" s="453"/>
      <c r="F76" s="460"/>
      <c r="G76" s="460"/>
      <c r="H76" s="453"/>
      <c r="I76" s="545"/>
      <c r="J76" s="545"/>
      <c r="K76" s="544"/>
      <c r="L76" s="544"/>
      <c r="M76" s="544"/>
      <c r="N76" s="544"/>
      <c r="O76" s="541"/>
      <c r="P76" s="541"/>
      <c r="Q76" s="541"/>
      <c r="R76" s="544"/>
      <c r="S76" s="544"/>
      <c r="T76" s="544"/>
      <c r="U76" s="544"/>
      <c r="V76" s="548"/>
      <c r="W76" s="544"/>
      <c r="X76" s="541"/>
      <c r="Y76" s="541"/>
      <c r="Z76" s="541"/>
    </row>
    <row r="77" ht="21.0" customHeight="1">
      <c r="A77" s="452"/>
      <c r="B77" s="453"/>
      <c r="C77" s="453"/>
      <c r="D77" s="453"/>
      <c r="E77" s="453"/>
      <c r="F77" s="460"/>
      <c r="G77" s="460"/>
      <c r="H77" s="453"/>
      <c r="I77" s="545"/>
      <c r="J77" s="545"/>
      <c r="K77" s="544"/>
      <c r="L77" s="544"/>
      <c r="M77" s="544"/>
      <c r="N77" s="544"/>
      <c r="O77" s="541"/>
      <c r="P77" s="541"/>
      <c r="Q77" s="541"/>
      <c r="R77" s="544"/>
      <c r="S77" s="544"/>
      <c r="T77" s="544"/>
      <c r="U77" s="544"/>
      <c r="V77" s="548"/>
      <c r="W77" s="544"/>
      <c r="X77" s="541"/>
      <c r="Y77" s="541"/>
      <c r="Z77" s="541"/>
    </row>
    <row r="78" ht="21.0" customHeight="1">
      <c r="A78" s="452"/>
      <c r="B78" s="453"/>
      <c r="C78" s="453"/>
      <c r="D78" s="453"/>
      <c r="E78" s="453"/>
      <c r="F78" s="460"/>
      <c r="G78" s="460"/>
      <c r="H78" s="453"/>
      <c r="I78" s="545"/>
      <c r="J78" s="545"/>
      <c r="K78" s="544"/>
      <c r="L78" s="544"/>
      <c r="M78" s="544"/>
      <c r="N78" s="544"/>
      <c r="O78" s="541"/>
      <c r="P78" s="541"/>
      <c r="Q78" s="541"/>
      <c r="R78" s="544"/>
      <c r="S78" s="544"/>
      <c r="T78" s="544"/>
      <c r="U78" s="544"/>
      <c r="V78" s="548"/>
      <c r="W78" s="544"/>
      <c r="X78" s="541"/>
      <c r="Y78" s="541"/>
      <c r="Z78" s="541"/>
    </row>
    <row r="79" ht="21.0" customHeight="1">
      <c r="A79" s="452"/>
      <c r="B79" s="453"/>
      <c r="C79" s="453"/>
      <c r="D79" s="453"/>
      <c r="E79" s="453"/>
      <c r="F79" s="460"/>
      <c r="G79" s="460"/>
      <c r="H79" s="453"/>
      <c r="I79" s="545"/>
      <c r="J79" s="545"/>
      <c r="K79" s="544"/>
      <c r="L79" s="544"/>
      <c r="M79" s="544"/>
      <c r="N79" s="544"/>
      <c r="O79" s="541"/>
      <c r="P79" s="541"/>
      <c r="Q79" s="541"/>
      <c r="R79" s="544"/>
      <c r="S79" s="544"/>
      <c r="T79" s="544"/>
      <c r="U79" s="544"/>
      <c r="V79" s="548"/>
      <c r="W79" s="544"/>
      <c r="X79" s="541"/>
      <c r="Y79" s="541"/>
      <c r="Z79" s="541"/>
    </row>
    <row r="80" ht="21.0" customHeight="1">
      <c r="A80" s="452"/>
      <c r="B80" s="453"/>
      <c r="C80" s="453"/>
      <c r="D80" s="453"/>
      <c r="E80" s="453"/>
      <c r="F80" s="460"/>
      <c r="G80" s="460"/>
      <c r="H80" s="453"/>
      <c r="I80" s="545"/>
      <c r="J80" s="545"/>
      <c r="K80" s="544"/>
      <c r="L80" s="544"/>
      <c r="M80" s="544"/>
      <c r="N80" s="544"/>
      <c r="O80" s="541"/>
      <c r="P80" s="541"/>
      <c r="Q80" s="541"/>
      <c r="R80" s="544"/>
      <c r="S80" s="544"/>
      <c r="T80" s="544"/>
      <c r="U80" s="544"/>
      <c r="V80" s="548"/>
      <c r="W80" s="544"/>
      <c r="X80" s="541"/>
      <c r="Y80" s="541"/>
      <c r="Z80" s="541"/>
    </row>
    <row r="81" ht="21.0" customHeight="1">
      <c r="A81" s="452"/>
      <c r="B81" s="453"/>
      <c r="C81" s="453"/>
      <c r="D81" s="453"/>
      <c r="E81" s="453"/>
      <c r="F81" s="460"/>
      <c r="G81" s="460"/>
      <c r="H81" s="453"/>
      <c r="I81" s="545"/>
      <c r="J81" s="545"/>
      <c r="K81" s="544"/>
      <c r="L81" s="544"/>
      <c r="M81" s="544"/>
      <c r="N81" s="544"/>
      <c r="O81" s="541"/>
      <c r="P81" s="541"/>
      <c r="Q81" s="541"/>
      <c r="R81" s="544"/>
      <c r="S81" s="544"/>
      <c r="T81" s="544"/>
      <c r="U81" s="544"/>
      <c r="V81" s="548"/>
      <c r="W81" s="544"/>
      <c r="X81" s="541"/>
      <c r="Y81" s="541"/>
      <c r="Z81" s="541"/>
    </row>
    <row r="82" ht="21.0" customHeight="1">
      <c r="A82" s="452"/>
      <c r="B82" s="453"/>
      <c r="C82" s="453"/>
      <c r="D82" s="453"/>
      <c r="E82" s="453"/>
      <c r="F82" s="460"/>
      <c r="G82" s="460"/>
      <c r="H82" s="453"/>
      <c r="I82" s="545"/>
      <c r="J82" s="545"/>
      <c r="K82" s="544"/>
      <c r="L82" s="544"/>
      <c r="M82" s="544"/>
      <c r="N82" s="544"/>
      <c r="O82" s="541"/>
      <c r="P82" s="541"/>
      <c r="Q82" s="541"/>
      <c r="R82" s="544"/>
      <c r="S82" s="544"/>
      <c r="T82" s="544"/>
      <c r="U82" s="544"/>
      <c r="V82" s="548"/>
      <c r="W82" s="544"/>
      <c r="X82" s="541"/>
      <c r="Y82" s="541"/>
      <c r="Z82" s="541"/>
    </row>
    <row r="83" ht="21.0" customHeight="1">
      <c r="A83" s="452"/>
      <c r="B83" s="453"/>
      <c r="C83" s="453"/>
      <c r="D83" s="453"/>
      <c r="E83" s="453"/>
      <c r="F83" s="460"/>
      <c r="G83" s="460"/>
      <c r="H83" s="453"/>
      <c r="I83" s="545"/>
      <c r="J83" s="545"/>
      <c r="K83" s="544"/>
      <c r="L83" s="544"/>
      <c r="M83" s="544"/>
      <c r="N83" s="544"/>
      <c r="O83" s="541"/>
      <c r="P83" s="541"/>
      <c r="Q83" s="541"/>
      <c r="R83" s="544"/>
      <c r="S83" s="544"/>
      <c r="T83" s="544"/>
      <c r="U83" s="544"/>
      <c r="V83" s="548"/>
      <c r="W83" s="544"/>
      <c r="X83" s="541"/>
      <c r="Y83" s="541"/>
      <c r="Z83" s="541"/>
    </row>
    <row r="84" ht="21.0" customHeight="1">
      <c r="A84" s="452"/>
      <c r="B84" s="453"/>
      <c r="C84" s="453"/>
      <c r="D84" s="453"/>
      <c r="E84" s="453"/>
      <c r="F84" s="460"/>
      <c r="G84" s="460"/>
      <c r="H84" s="453"/>
      <c r="I84" s="545"/>
      <c r="J84" s="545"/>
      <c r="K84" s="544"/>
      <c r="L84" s="544"/>
      <c r="M84" s="544"/>
      <c r="N84" s="544"/>
      <c r="O84" s="541"/>
      <c r="P84" s="541"/>
      <c r="Q84" s="541"/>
      <c r="R84" s="544"/>
      <c r="S84" s="544"/>
      <c r="T84" s="544"/>
      <c r="U84" s="544"/>
      <c r="V84" s="548"/>
      <c r="W84" s="544"/>
      <c r="X84" s="541"/>
      <c r="Y84" s="541"/>
      <c r="Z84" s="541"/>
    </row>
    <row r="85" ht="21.0" customHeight="1">
      <c r="A85" s="452"/>
      <c r="B85" s="453"/>
      <c r="C85" s="453"/>
      <c r="D85" s="453"/>
      <c r="E85" s="453"/>
      <c r="F85" s="460"/>
      <c r="G85" s="460"/>
      <c r="H85" s="453"/>
      <c r="I85" s="545"/>
      <c r="J85" s="545"/>
      <c r="K85" s="544"/>
      <c r="L85" s="544"/>
      <c r="M85" s="544"/>
      <c r="N85" s="544"/>
      <c r="O85" s="541"/>
      <c r="P85" s="541"/>
      <c r="Q85" s="541"/>
      <c r="R85" s="544"/>
      <c r="S85" s="544"/>
      <c r="T85" s="544"/>
      <c r="U85" s="544"/>
      <c r="V85" s="548"/>
      <c r="W85" s="544"/>
      <c r="X85" s="541"/>
      <c r="Y85" s="541"/>
      <c r="Z85" s="541"/>
    </row>
    <row r="86" ht="21.0" customHeight="1">
      <c r="A86" s="452"/>
      <c r="B86" s="453"/>
      <c r="C86" s="453"/>
      <c r="D86" s="453"/>
      <c r="E86" s="453"/>
      <c r="F86" s="460"/>
      <c r="G86" s="460"/>
      <c r="H86" s="453"/>
      <c r="I86" s="545"/>
      <c r="J86" s="545"/>
      <c r="K86" s="544"/>
      <c r="L86" s="544"/>
      <c r="M86" s="544"/>
      <c r="N86" s="544"/>
      <c r="O86" s="541"/>
      <c r="P86" s="541"/>
      <c r="Q86" s="541"/>
      <c r="R86" s="544"/>
      <c r="S86" s="544"/>
      <c r="T86" s="544"/>
      <c r="U86" s="544"/>
      <c r="V86" s="548"/>
      <c r="W86" s="544"/>
      <c r="X86" s="541"/>
      <c r="Y86" s="541"/>
      <c r="Z86" s="541"/>
    </row>
    <row r="87" ht="21.0" customHeight="1">
      <c r="A87" s="452"/>
      <c r="B87" s="453"/>
      <c r="C87" s="453"/>
      <c r="D87" s="453"/>
      <c r="E87" s="453"/>
      <c r="F87" s="460"/>
      <c r="G87" s="460"/>
      <c r="H87" s="453"/>
      <c r="I87" s="545"/>
      <c r="J87" s="545"/>
      <c r="K87" s="544"/>
      <c r="L87" s="544"/>
      <c r="M87" s="544"/>
      <c r="N87" s="544"/>
      <c r="O87" s="541"/>
      <c r="P87" s="541"/>
      <c r="Q87" s="541"/>
      <c r="R87" s="544"/>
      <c r="S87" s="544"/>
      <c r="T87" s="544"/>
      <c r="U87" s="544"/>
      <c r="V87" s="548"/>
      <c r="W87" s="544"/>
      <c r="X87" s="541"/>
      <c r="Y87" s="541"/>
      <c r="Z87" s="541"/>
    </row>
    <row r="88" ht="21.0" customHeight="1">
      <c r="A88" s="452"/>
      <c r="B88" s="453"/>
      <c r="C88" s="453"/>
      <c r="D88" s="453"/>
      <c r="E88" s="453"/>
      <c r="F88" s="460"/>
      <c r="G88" s="460"/>
      <c r="H88" s="453"/>
      <c r="I88" s="545"/>
      <c r="J88" s="545"/>
      <c r="K88" s="544"/>
      <c r="L88" s="544"/>
      <c r="M88" s="544"/>
      <c r="N88" s="544"/>
      <c r="O88" s="541"/>
      <c r="P88" s="541"/>
      <c r="Q88" s="541"/>
      <c r="R88" s="544"/>
      <c r="S88" s="544"/>
      <c r="T88" s="544"/>
      <c r="U88" s="544"/>
      <c r="V88" s="548"/>
      <c r="W88" s="544"/>
      <c r="X88" s="541"/>
      <c r="Y88" s="541"/>
      <c r="Z88" s="541"/>
    </row>
    <row r="89" ht="21.0" customHeight="1">
      <c r="A89" s="452"/>
      <c r="B89" s="453"/>
      <c r="C89" s="453"/>
      <c r="D89" s="453"/>
      <c r="E89" s="453"/>
      <c r="F89" s="460"/>
      <c r="G89" s="460"/>
      <c r="H89" s="453"/>
      <c r="I89" s="545"/>
      <c r="J89" s="545"/>
      <c r="K89" s="544"/>
      <c r="L89" s="544"/>
      <c r="M89" s="544"/>
      <c r="N89" s="544"/>
      <c r="O89" s="541"/>
      <c r="P89" s="541"/>
      <c r="Q89" s="541"/>
      <c r="R89" s="544"/>
      <c r="S89" s="544"/>
      <c r="T89" s="544"/>
      <c r="U89" s="544"/>
      <c r="V89" s="548"/>
      <c r="W89" s="544"/>
      <c r="X89" s="541"/>
      <c r="Y89" s="541"/>
      <c r="Z89" s="541"/>
    </row>
    <row r="90" ht="21.0" customHeight="1">
      <c r="A90" s="452"/>
      <c r="B90" s="453"/>
      <c r="C90" s="453"/>
      <c r="D90" s="453"/>
      <c r="E90" s="453"/>
      <c r="F90" s="460"/>
      <c r="G90" s="460"/>
      <c r="H90" s="453"/>
      <c r="I90" s="545"/>
      <c r="J90" s="545"/>
      <c r="K90" s="544"/>
      <c r="L90" s="544"/>
      <c r="M90" s="544"/>
      <c r="N90" s="544"/>
      <c r="O90" s="541"/>
      <c r="P90" s="541"/>
      <c r="Q90" s="541"/>
      <c r="R90" s="544"/>
      <c r="S90" s="544"/>
      <c r="T90" s="544"/>
      <c r="U90" s="544"/>
      <c r="V90" s="548"/>
      <c r="W90" s="544"/>
      <c r="X90" s="541"/>
      <c r="Y90" s="541"/>
      <c r="Z90" s="541"/>
    </row>
    <row r="91" ht="21.0" customHeight="1">
      <c r="A91" s="452"/>
      <c r="B91" s="453"/>
      <c r="C91" s="453"/>
      <c r="D91" s="453"/>
      <c r="E91" s="453"/>
      <c r="F91" s="460"/>
      <c r="G91" s="460"/>
      <c r="H91" s="453"/>
      <c r="I91" s="545"/>
      <c r="J91" s="545"/>
      <c r="K91" s="544"/>
      <c r="L91" s="544"/>
      <c r="M91" s="544"/>
      <c r="N91" s="544"/>
      <c r="O91" s="541"/>
      <c r="P91" s="541"/>
      <c r="Q91" s="541"/>
      <c r="R91" s="544"/>
      <c r="S91" s="544"/>
      <c r="T91" s="544"/>
      <c r="U91" s="544"/>
      <c r="V91" s="548"/>
      <c r="W91" s="544"/>
      <c r="X91" s="541"/>
      <c r="Y91" s="541"/>
      <c r="Z91" s="541"/>
    </row>
    <row r="92" ht="21.0" customHeight="1">
      <c r="A92" s="452"/>
      <c r="B92" s="453"/>
      <c r="C92" s="453"/>
      <c r="D92" s="453"/>
      <c r="E92" s="453"/>
      <c r="F92" s="460"/>
      <c r="G92" s="460"/>
      <c r="H92" s="453"/>
      <c r="I92" s="545"/>
      <c r="J92" s="545"/>
      <c r="K92" s="544"/>
      <c r="L92" s="544"/>
      <c r="M92" s="544"/>
      <c r="N92" s="544"/>
      <c r="O92" s="541"/>
      <c r="P92" s="541"/>
      <c r="Q92" s="541"/>
      <c r="R92" s="544"/>
      <c r="S92" s="544"/>
      <c r="T92" s="544"/>
      <c r="U92" s="544"/>
      <c r="V92" s="548"/>
      <c r="W92" s="544"/>
      <c r="X92" s="541"/>
      <c r="Y92" s="541"/>
      <c r="Z92" s="541"/>
    </row>
    <row r="93" ht="21.0" customHeight="1">
      <c r="A93" s="452"/>
      <c r="B93" s="453"/>
      <c r="C93" s="453"/>
      <c r="D93" s="453"/>
      <c r="E93" s="453"/>
      <c r="F93" s="460"/>
      <c r="G93" s="460"/>
      <c r="H93" s="453"/>
      <c r="I93" s="545"/>
      <c r="J93" s="545"/>
      <c r="K93" s="544"/>
      <c r="L93" s="544"/>
      <c r="M93" s="544"/>
      <c r="N93" s="544"/>
      <c r="O93" s="541"/>
      <c r="P93" s="541"/>
      <c r="Q93" s="541"/>
      <c r="R93" s="544"/>
      <c r="S93" s="544"/>
      <c r="T93" s="544"/>
      <c r="U93" s="544"/>
      <c r="V93" s="548"/>
      <c r="W93" s="544"/>
      <c r="X93" s="541"/>
      <c r="Y93" s="541"/>
      <c r="Z93" s="541"/>
    </row>
    <row r="94" ht="21.0" customHeight="1">
      <c r="A94" s="452"/>
      <c r="B94" s="453"/>
      <c r="C94" s="453"/>
      <c r="D94" s="453"/>
      <c r="E94" s="453"/>
      <c r="F94" s="460"/>
      <c r="G94" s="460"/>
      <c r="H94" s="453"/>
      <c r="I94" s="545"/>
      <c r="J94" s="545"/>
      <c r="K94" s="544"/>
      <c r="L94" s="544"/>
      <c r="M94" s="544"/>
      <c r="N94" s="544"/>
      <c r="O94" s="541"/>
      <c r="P94" s="541"/>
      <c r="Q94" s="541"/>
      <c r="R94" s="544"/>
      <c r="S94" s="544"/>
      <c r="T94" s="544"/>
      <c r="U94" s="544"/>
      <c r="V94" s="548"/>
      <c r="W94" s="544"/>
      <c r="X94" s="541"/>
      <c r="Y94" s="541"/>
      <c r="Z94" s="541"/>
    </row>
    <row r="95" ht="21.0" customHeight="1">
      <c r="A95" s="452"/>
      <c r="B95" s="453"/>
      <c r="C95" s="453"/>
      <c r="D95" s="453"/>
      <c r="E95" s="453"/>
      <c r="F95" s="460"/>
      <c r="G95" s="460"/>
      <c r="H95" s="453"/>
      <c r="I95" s="545"/>
      <c r="J95" s="545"/>
      <c r="K95" s="544"/>
      <c r="L95" s="544"/>
      <c r="M95" s="544"/>
      <c r="N95" s="544"/>
      <c r="O95" s="541"/>
      <c r="P95" s="541"/>
      <c r="Q95" s="541"/>
      <c r="R95" s="544"/>
      <c r="S95" s="544"/>
      <c r="T95" s="544"/>
      <c r="U95" s="544"/>
      <c r="V95" s="548"/>
      <c r="W95" s="544"/>
      <c r="X95" s="541"/>
      <c r="Y95" s="541"/>
      <c r="Z95" s="541"/>
    </row>
    <row r="96" ht="21.0" customHeight="1">
      <c r="A96" s="452"/>
      <c r="B96" s="453"/>
      <c r="C96" s="453"/>
      <c r="D96" s="453"/>
      <c r="E96" s="453"/>
      <c r="F96" s="460"/>
      <c r="G96" s="460"/>
      <c r="H96" s="453"/>
      <c r="I96" s="545"/>
      <c r="J96" s="545"/>
      <c r="K96" s="544"/>
      <c r="L96" s="544"/>
      <c r="M96" s="544"/>
      <c r="N96" s="544"/>
      <c r="O96" s="541"/>
      <c r="P96" s="541"/>
      <c r="Q96" s="541"/>
      <c r="R96" s="544"/>
      <c r="S96" s="544"/>
      <c r="T96" s="544"/>
      <c r="U96" s="544"/>
      <c r="V96" s="548"/>
      <c r="W96" s="544"/>
      <c r="X96" s="541"/>
      <c r="Y96" s="541"/>
      <c r="Z96" s="541"/>
    </row>
    <row r="97" ht="21.0" customHeight="1">
      <c r="A97" s="452"/>
      <c r="B97" s="453"/>
      <c r="C97" s="453"/>
      <c r="D97" s="453"/>
      <c r="E97" s="453"/>
      <c r="F97" s="460"/>
      <c r="G97" s="460"/>
      <c r="H97" s="453"/>
      <c r="I97" s="545"/>
      <c r="J97" s="545"/>
      <c r="K97" s="544"/>
      <c r="L97" s="544"/>
      <c r="M97" s="544"/>
      <c r="N97" s="544"/>
      <c r="O97" s="541"/>
      <c r="P97" s="541"/>
      <c r="Q97" s="541"/>
      <c r="R97" s="544"/>
      <c r="S97" s="544"/>
      <c r="T97" s="544"/>
      <c r="U97" s="544"/>
      <c r="V97" s="548"/>
      <c r="W97" s="544"/>
      <c r="X97" s="541"/>
      <c r="Y97" s="541"/>
      <c r="Z97" s="541"/>
    </row>
    <row r="98" ht="21.0" customHeight="1">
      <c r="A98" s="452"/>
      <c r="B98" s="453"/>
      <c r="C98" s="453"/>
      <c r="D98" s="453"/>
      <c r="E98" s="453"/>
      <c r="F98" s="460"/>
      <c r="G98" s="460"/>
      <c r="H98" s="453"/>
      <c r="I98" s="545"/>
      <c r="J98" s="545"/>
      <c r="K98" s="544"/>
      <c r="L98" s="544"/>
      <c r="M98" s="544"/>
      <c r="N98" s="544"/>
      <c r="O98" s="541"/>
      <c r="P98" s="541"/>
      <c r="Q98" s="541"/>
      <c r="R98" s="544"/>
      <c r="S98" s="544"/>
      <c r="T98" s="544"/>
      <c r="U98" s="544"/>
      <c r="V98" s="548"/>
      <c r="W98" s="544"/>
      <c r="X98" s="541"/>
      <c r="Y98" s="541"/>
      <c r="Z98" s="541"/>
    </row>
    <row r="99" ht="21.0" customHeight="1">
      <c r="A99" s="452"/>
      <c r="B99" s="453"/>
      <c r="C99" s="453"/>
      <c r="D99" s="453"/>
      <c r="E99" s="453"/>
      <c r="F99" s="460"/>
      <c r="G99" s="460"/>
      <c r="H99" s="453"/>
      <c r="I99" s="545"/>
      <c r="J99" s="545"/>
      <c r="K99" s="544"/>
      <c r="L99" s="544"/>
      <c r="M99" s="544"/>
      <c r="N99" s="544"/>
      <c r="O99" s="541"/>
      <c r="P99" s="541"/>
      <c r="Q99" s="541"/>
      <c r="R99" s="544"/>
      <c r="S99" s="544"/>
      <c r="T99" s="544"/>
      <c r="U99" s="544"/>
      <c r="V99" s="548"/>
      <c r="W99" s="544"/>
      <c r="X99" s="541"/>
      <c r="Y99" s="541"/>
      <c r="Z99" s="541"/>
    </row>
    <row r="100" ht="21.0" customHeight="1">
      <c r="A100" s="452"/>
      <c r="B100" s="453"/>
      <c r="C100" s="453"/>
      <c r="D100" s="453"/>
      <c r="E100" s="453"/>
      <c r="F100" s="460"/>
      <c r="G100" s="460"/>
      <c r="H100" s="453"/>
      <c r="I100" s="545"/>
      <c r="J100" s="545"/>
      <c r="K100" s="544"/>
      <c r="L100" s="544"/>
      <c r="M100" s="544"/>
      <c r="N100" s="544"/>
      <c r="O100" s="541"/>
      <c r="P100" s="541"/>
      <c r="Q100" s="541"/>
      <c r="R100" s="544"/>
      <c r="S100" s="544"/>
      <c r="T100" s="544"/>
      <c r="U100" s="544"/>
      <c r="V100" s="548"/>
      <c r="W100" s="544"/>
      <c r="X100" s="541"/>
      <c r="Y100" s="541"/>
      <c r="Z100" s="541"/>
    </row>
    <row r="101" ht="21.0" customHeight="1">
      <c r="A101" s="452"/>
      <c r="B101" s="453"/>
      <c r="C101" s="453"/>
      <c r="D101" s="453"/>
      <c r="E101" s="453"/>
      <c r="F101" s="460"/>
      <c r="G101" s="460"/>
      <c r="H101" s="453"/>
      <c r="I101" s="545"/>
      <c r="J101" s="545"/>
      <c r="K101" s="544"/>
      <c r="L101" s="544"/>
      <c r="M101" s="544"/>
      <c r="N101" s="544"/>
      <c r="O101" s="541"/>
      <c r="P101" s="541"/>
      <c r="Q101" s="541"/>
      <c r="R101" s="544"/>
      <c r="S101" s="544"/>
      <c r="T101" s="544"/>
      <c r="U101" s="544"/>
      <c r="V101" s="548"/>
      <c r="W101" s="544"/>
      <c r="X101" s="541"/>
      <c r="Y101" s="541"/>
      <c r="Z101" s="541"/>
    </row>
    <row r="102" ht="21.0" customHeight="1">
      <c r="A102" s="452"/>
      <c r="B102" s="453"/>
      <c r="C102" s="453"/>
      <c r="D102" s="453"/>
      <c r="E102" s="453"/>
      <c r="F102" s="460"/>
      <c r="G102" s="460"/>
      <c r="H102" s="453"/>
      <c r="I102" s="545"/>
      <c r="J102" s="545"/>
      <c r="K102" s="544"/>
      <c r="L102" s="544"/>
      <c r="M102" s="544"/>
      <c r="N102" s="544"/>
      <c r="O102" s="541"/>
      <c r="P102" s="541"/>
      <c r="Q102" s="541"/>
      <c r="R102" s="544"/>
      <c r="S102" s="544"/>
      <c r="T102" s="544"/>
      <c r="U102" s="544"/>
      <c r="V102" s="548"/>
      <c r="W102" s="544"/>
      <c r="X102" s="541"/>
      <c r="Y102" s="541"/>
      <c r="Z102" s="541"/>
    </row>
    <row r="103" ht="21.0" customHeight="1">
      <c r="A103" s="452"/>
      <c r="B103" s="453"/>
      <c r="C103" s="453"/>
      <c r="D103" s="453"/>
      <c r="E103" s="453"/>
      <c r="F103" s="460"/>
      <c r="G103" s="460"/>
      <c r="H103" s="453"/>
      <c r="I103" s="545"/>
      <c r="J103" s="545"/>
      <c r="K103" s="544"/>
      <c r="L103" s="544"/>
      <c r="M103" s="544"/>
      <c r="N103" s="544"/>
      <c r="O103" s="541"/>
      <c r="P103" s="541"/>
      <c r="Q103" s="541"/>
      <c r="R103" s="544"/>
      <c r="S103" s="544"/>
      <c r="T103" s="544"/>
      <c r="U103" s="544"/>
      <c r="V103" s="548"/>
      <c r="W103" s="544"/>
      <c r="X103" s="541"/>
      <c r="Y103" s="541"/>
      <c r="Z103" s="541"/>
    </row>
    <row r="104" ht="21.0" customHeight="1">
      <c r="A104" s="452"/>
      <c r="B104" s="453"/>
      <c r="C104" s="453"/>
      <c r="D104" s="453"/>
      <c r="E104" s="453"/>
      <c r="F104" s="460"/>
      <c r="G104" s="460"/>
      <c r="H104" s="453"/>
      <c r="I104" s="545"/>
      <c r="J104" s="545"/>
      <c r="K104" s="544"/>
      <c r="L104" s="544"/>
      <c r="M104" s="544"/>
      <c r="N104" s="544"/>
      <c r="O104" s="541"/>
      <c r="P104" s="541"/>
      <c r="Q104" s="541"/>
      <c r="R104" s="544"/>
      <c r="S104" s="544"/>
      <c r="T104" s="544"/>
      <c r="U104" s="544"/>
      <c r="V104" s="548"/>
      <c r="W104" s="544"/>
      <c r="X104" s="541"/>
      <c r="Y104" s="541"/>
      <c r="Z104" s="541"/>
    </row>
    <row r="105" ht="21.0" customHeight="1">
      <c r="A105" s="452"/>
      <c r="B105" s="453"/>
      <c r="C105" s="453"/>
      <c r="D105" s="453"/>
      <c r="E105" s="453"/>
      <c r="F105" s="460"/>
      <c r="G105" s="460"/>
      <c r="H105" s="453"/>
      <c r="I105" s="545"/>
      <c r="J105" s="545"/>
      <c r="K105" s="544"/>
      <c r="L105" s="544"/>
      <c r="M105" s="544"/>
      <c r="N105" s="544"/>
      <c r="O105" s="541"/>
      <c r="P105" s="541"/>
      <c r="Q105" s="541"/>
      <c r="R105" s="544"/>
      <c r="S105" s="544"/>
      <c r="T105" s="544"/>
      <c r="U105" s="544"/>
      <c r="V105" s="548"/>
      <c r="W105" s="544"/>
      <c r="X105" s="541"/>
      <c r="Y105" s="541"/>
      <c r="Z105" s="541"/>
    </row>
    <row r="106" ht="21.0" customHeight="1">
      <c r="A106" s="452"/>
      <c r="B106" s="453"/>
      <c r="C106" s="453"/>
      <c r="D106" s="453"/>
      <c r="E106" s="453"/>
      <c r="F106" s="460"/>
      <c r="G106" s="460"/>
      <c r="H106" s="453"/>
      <c r="I106" s="545"/>
      <c r="J106" s="545"/>
      <c r="K106" s="544"/>
      <c r="L106" s="544"/>
      <c r="M106" s="544"/>
      <c r="N106" s="544"/>
      <c r="O106" s="541"/>
      <c r="P106" s="541"/>
      <c r="Q106" s="541"/>
      <c r="R106" s="544"/>
      <c r="S106" s="544"/>
      <c r="T106" s="544"/>
      <c r="U106" s="544"/>
      <c r="V106" s="548"/>
      <c r="W106" s="544"/>
      <c r="X106" s="541"/>
      <c r="Y106" s="541"/>
      <c r="Z106" s="541"/>
    </row>
    <row r="107" ht="21.0" customHeight="1">
      <c r="A107" s="452"/>
      <c r="B107" s="453"/>
      <c r="C107" s="453"/>
      <c r="D107" s="453"/>
      <c r="E107" s="453"/>
      <c r="F107" s="460"/>
      <c r="G107" s="460"/>
      <c r="H107" s="453"/>
      <c r="I107" s="545"/>
      <c r="J107" s="545"/>
      <c r="K107" s="544"/>
      <c r="L107" s="544"/>
      <c r="M107" s="544"/>
      <c r="N107" s="544"/>
      <c r="O107" s="541"/>
      <c r="P107" s="541"/>
      <c r="Q107" s="541"/>
      <c r="R107" s="544"/>
      <c r="S107" s="544"/>
      <c r="T107" s="544"/>
      <c r="U107" s="544"/>
      <c r="V107" s="548"/>
      <c r="W107" s="544"/>
      <c r="X107" s="541"/>
      <c r="Y107" s="541"/>
      <c r="Z107" s="541"/>
    </row>
    <row r="108" ht="21.0" customHeight="1">
      <c r="A108" s="452"/>
      <c r="B108" s="453"/>
      <c r="C108" s="453"/>
      <c r="D108" s="453"/>
      <c r="E108" s="453"/>
      <c r="F108" s="460"/>
      <c r="G108" s="460"/>
      <c r="H108" s="453"/>
      <c r="I108" s="545"/>
      <c r="J108" s="545"/>
      <c r="K108" s="544"/>
      <c r="L108" s="544"/>
      <c r="M108" s="544"/>
      <c r="N108" s="544"/>
      <c r="O108" s="541"/>
      <c r="P108" s="541"/>
      <c r="Q108" s="541"/>
      <c r="R108" s="544"/>
      <c r="S108" s="544"/>
      <c r="T108" s="544"/>
      <c r="U108" s="544"/>
      <c r="V108" s="548"/>
      <c r="W108" s="544"/>
      <c r="X108" s="541"/>
      <c r="Y108" s="541"/>
      <c r="Z108" s="541"/>
    </row>
    <row r="109" ht="21.0" customHeight="1">
      <c r="A109" s="452"/>
      <c r="B109" s="453"/>
      <c r="C109" s="453"/>
      <c r="D109" s="453"/>
      <c r="E109" s="453"/>
      <c r="F109" s="460"/>
      <c r="G109" s="460"/>
      <c r="H109" s="453"/>
      <c r="I109" s="545"/>
      <c r="J109" s="545"/>
      <c r="K109" s="544"/>
      <c r="L109" s="544"/>
      <c r="M109" s="544"/>
      <c r="N109" s="544"/>
      <c r="O109" s="541"/>
      <c r="P109" s="541"/>
      <c r="Q109" s="541"/>
      <c r="R109" s="544"/>
      <c r="S109" s="544"/>
      <c r="T109" s="544"/>
      <c r="U109" s="544"/>
      <c r="V109" s="548"/>
      <c r="W109" s="544"/>
      <c r="X109" s="541"/>
      <c r="Y109" s="541"/>
      <c r="Z109" s="541"/>
    </row>
    <row r="110" ht="21.0" customHeight="1">
      <c r="A110" s="452"/>
      <c r="B110" s="453"/>
      <c r="C110" s="453"/>
      <c r="D110" s="453"/>
      <c r="E110" s="453"/>
      <c r="F110" s="460"/>
      <c r="G110" s="460"/>
      <c r="H110" s="453"/>
      <c r="I110" s="545"/>
      <c r="J110" s="545"/>
      <c r="K110" s="544"/>
      <c r="L110" s="544"/>
      <c r="M110" s="544"/>
      <c r="N110" s="544"/>
      <c r="O110" s="541"/>
      <c r="P110" s="541"/>
      <c r="Q110" s="541"/>
      <c r="R110" s="544"/>
      <c r="S110" s="544"/>
      <c r="T110" s="544"/>
      <c r="U110" s="544"/>
      <c r="V110" s="548"/>
      <c r="W110" s="544"/>
      <c r="X110" s="541"/>
      <c r="Y110" s="541"/>
      <c r="Z110" s="541"/>
    </row>
    <row r="111" ht="21.0" customHeight="1">
      <c r="A111" s="452"/>
      <c r="B111" s="453"/>
      <c r="C111" s="453"/>
      <c r="D111" s="453"/>
      <c r="E111" s="453"/>
      <c r="F111" s="460"/>
      <c r="G111" s="460"/>
      <c r="H111" s="453"/>
      <c r="I111" s="545"/>
      <c r="J111" s="545"/>
      <c r="K111" s="544"/>
      <c r="L111" s="544"/>
      <c r="M111" s="544"/>
      <c r="N111" s="544"/>
      <c r="O111" s="541"/>
      <c r="P111" s="541"/>
      <c r="Q111" s="541"/>
      <c r="R111" s="544"/>
      <c r="S111" s="544"/>
      <c r="T111" s="544"/>
      <c r="U111" s="544"/>
      <c r="V111" s="548"/>
      <c r="W111" s="544"/>
      <c r="X111" s="541"/>
      <c r="Y111" s="541"/>
      <c r="Z111" s="541"/>
    </row>
    <row r="112" ht="21.0" customHeight="1">
      <c r="A112" s="452"/>
      <c r="B112" s="453"/>
      <c r="C112" s="453"/>
      <c r="D112" s="453"/>
      <c r="E112" s="453"/>
      <c r="F112" s="460"/>
      <c r="G112" s="460"/>
      <c r="H112" s="453"/>
      <c r="I112" s="545"/>
      <c r="J112" s="545"/>
      <c r="K112" s="544"/>
      <c r="L112" s="544"/>
      <c r="M112" s="544"/>
      <c r="N112" s="544"/>
      <c r="O112" s="541"/>
      <c r="P112" s="541"/>
      <c r="Q112" s="541"/>
      <c r="R112" s="544"/>
      <c r="S112" s="544"/>
      <c r="T112" s="544"/>
      <c r="U112" s="544"/>
      <c r="V112" s="548"/>
      <c r="W112" s="544"/>
      <c r="X112" s="541"/>
      <c r="Y112" s="541"/>
      <c r="Z112" s="541"/>
    </row>
    <row r="113" ht="21.0" customHeight="1">
      <c r="A113" s="452"/>
      <c r="B113" s="453"/>
      <c r="C113" s="453"/>
      <c r="D113" s="453"/>
      <c r="E113" s="453"/>
      <c r="F113" s="460"/>
      <c r="G113" s="460"/>
      <c r="H113" s="453"/>
      <c r="I113" s="545"/>
      <c r="J113" s="545"/>
      <c r="K113" s="544"/>
      <c r="L113" s="544"/>
      <c r="M113" s="544"/>
      <c r="N113" s="544"/>
      <c r="O113" s="541"/>
      <c r="P113" s="541"/>
      <c r="Q113" s="541"/>
      <c r="R113" s="544"/>
      <c r="S113" s="544"/>
      <c r="T113" s="544"/>
      <c r="U113" s="544"/>
      <c r="V113" s="548"/>
      <c r="W113" s="544"/>
      <c r="X113" s="541"/>
      <c r="Y113" s="541"/>
      <c r="Z113" s="541"/>
    </row>
    <row r="114" ht="21.0" customHeight="1">
      <c r="A114" s="452"/>
      <c r="B114" s="453"/>
      <c r="C114" s="453"/>
      <c r="D114" s="453"/>
      <c r="E114" s="453"/>
      <c r="F114" s="460"/>
      <c r="G114" s="460"/>
      <c r="H114" s="453"/>
      <c r="I114" s="545"/>
      <c r="J114" s="545"/>
      <c r="K114" s="544"/>
      <c r="L114" s="544"/>
      <c r="M114" s="544"/>
      <c r="N114" s="544"/>
      <c r="O114" s="541"/>
      <c r="P114" s="541"/>
      <c r="Q114" s="541"/>
      <c r="R114" s="544"/>
      <c r="S114" s="544"/>
      <c r="T114" s="544"/>
      <c r="U114" s="544"/>
      <c r="V114" s="548"/>
      <c r="W114" s="544"/>
      <c r="X114" s="541"/>
      <c r="Y114" s="541"/>
      <c r="Z114" s="541"/>
    </row>
    <row r="115" ht="21.0" customHeight="1">
      <c r="A115" s="452"/>
      <c r="B115" s="453"/>
      <c r="C115" s="453"/>
      <c r="D115" s="453"/>
      <c r="E115" s="453"/>
      <c r="F115" s="460"/>
      <c r="G115" s="460"/>
      <c r="H115" s="453"/>
      <c r="I115" s="545"/>
      <c r="J115" s="545"/>
      <c r="K115" s="544"/>
      <c r="L115" s="544"/>
      <c r="M115" s="544"/>
      <c r="N115" s="544"/>
      <c r="O115" s="541"/>
      <c r="P115" s="541"/>
      <c r="Q115" s="541"/>
      <c r="R115" s="544"/>
      <c r="S115" s="544"/>
      <c r="T115" s="544"/>
      <c r="U115" s="544"/>
      <c r="V115" s="548"/>
      <c r="W115" s="544"/>
      <c r="X115" s="541"/>
      <c r="Y115" s="541"/>
      <c r="Z115" s="541"/>
    </row>
    <row r="116" ht="21.0" customHeight="1">
      <c r="A116" s="452"/>
      <c r="B116" s="453"/>
      <c r="C116" s="453"/>
      <c r="D116" s="453"/>
      <c r="E116" s="453"/>
      <c r="F116" s="460"/>
      <c r="G116" s="460"/>
      <c r="H116" s="453"/>
      <c r="I116" s="545"/>
      <c r="J116" s="545"/>
      <c r="K116" s="544"/>
      <c r="L116" s="544"/>
      <c r="M116" s="544"/>
      <c r="N116" s="544"/>
      <c r="O116" s="541"/>
      <c r="P116" s="541"/>
      <c r="Q116" s="541"/>
      <c r="R116" s="544"/>
      <c r="S116" s="544"/>
      <c r="T116" s="544"/>
      <c r="U116" s="544"/>
      <c r="V116" s="548"/>
      <c r="W116" s="544"/>
      <c r="X116" s="541"/>
      <c r="Y116" s="541"/>
      <c r="Z116" s="541"/>
    </row>
    <row r="117" ht="21.0" customHeight="1">
      <c r="A117" s="452"/>
      <c r="B117" s="453"/>
      <c r="C117" s="453"/>
      <c r="D117" s="453"/>
      <c r="E117" s="453"/>
      <c r="F117" s="460"/>
      <c r="G117" s="460"/>
      <c r="H117" s="453"/>
      <c r="I117" s="545"/>
      <c r="J117" s="545"/>
      <c r="K117" s="544"/>
      <c r="L117" s="544"/>
      <c r="M117" s="544"/>
      <c r="N117" s="544"/>
      <c r="O117" s="541"/>
      <c r="P117" s="541"/>
      <c r="Q117" s="541"/>
      <c r="R117" s="544"/>
      <c r="S117" s="544"/>
      <c r="T117" s="544"/>
      <c r="U117" s="544"/>
      <c r="V117" s="548"/>
      <c r="W117" s="544"/>
      <c r="X117" s="541"/>
      <c r="Y117" s="541"/>
      <c r="Z117" s="541"/>
    </row>
    <row r="118" ht="21.0" customHeight="1">
      <c r="A118" s="452"/>
      <c r="B118" s="453"/>
      <c r="C118" s="453"/>
      <c r="D118" s="453"/>
      <c r="E118" s="453"/>
      <c r="F118" s="460"/>
      <c r="G118" s="460"/>
      <c r="H118" s="453"/>
      <c r="I118" s="545"/>
      <c r="J118" s="545"/>
      <c r="K118" s="544"/>
      <c r="L118" s="544"/>
      <c r="M118" s="544"/>
      <c r="N118" s="544"/>
      <c r="O118" s="541"/>
      <c r="P118" s="541"/>
      <c r="Q118" s="541"/>
      <c r="R118" s="544"/>
      <c r="S118" s="544"/>
      <c r="T118" s="544"/>
      <c r="U118" s="544"/>
      <c r="V118" s="548"/>
      <c r="W118" s="544"/>
      <c r="X118" s="541"/>
      <c r="Y118" s="541"/>
      <c r="Z118" s="541"/>
    </row>
    <row r="119" ht="21.0" customHeight="1">
      <c r="A119" s="452"/>
      <c r="B119" s="453"/>
      <c r="C119" s="453"/>
      <c r="D119" s="453"/>
      <c r="E119" s="453"/>
      <c r="F119" s="460"/>
      <c r="G119" s="460"/>
      <c r="H119" s="453"/>
      <c r="I119" s="545"/>
      <c r="J119" s="545"/>
      <c r="K119" s="544"/>
      <c r="L119" s="544"/>
      <c r="M119" s="544"/>
      <c r="N119" s="544"/>
      <c r="O119" s="541"/>
      <c r="P119" s="541"/>
      <c r="Q119" s="541"/>
      <c r="R119" s="544"/>
      <c r="S119" s="544"/>
      <c r="T119" s="544"/>
      <c r="U119" s="544"/>
      <c r="V119" s="548"/>
      <c r="W119" s="544"/>
      <c r="X119" s="541"/>
      <c r="Y119" s="541"/>
      <c r="Z119" s="541"/>
    </row>
    <row r="120" ht="21.0" customHeight="1">
      <c r="A120" s="452"/>
      <c r="B120" s="453"/>
      <c r="C120" s="453"/>
      <c r="D120" s="453"/>
      <c r="E120" s="453"/>
      <c r="F120" s="460"/>
      <c r="G120" s="460"/>
      <c r="H120" s="453"/>
      <c r="I120" s="545"/>
      <c r="J120" s="545"/>
      <c r="K120" s="544"/>
      <c r="L120" s="544"/>
      <c r="M120" s="544"/>
      <c r="N120" s="544"/>
      <c r="O120" s="541"/>
      <c r="P120" s="541"/>
      <c r="Q120" s="541"/>
      <c r="R120" s="544"/>
      <c r="S120" s="544"/>
      <c r="T120" s="544"/>
      <c r="U120" s="544"/>
      <c r="V120" s="548"/>
      <c r="W120" s="544"/>
      <c r="X120" s="541"/>
      <c r="Y120" s="541"/>
      <c r="Z120" s="541"/>
    </row>
    <row r="121" ht="21.0" customHeight="1">
      <c r="A121" s="541"/>
      <c r="B121" s="542"/>
      <c r="C121" s="542"/>
      <c r="D121" s="542"/>
      <c r="E121" s="542"/>
      <c r="F121" s="550"/>
      <c r="G121" s="550"/>
      <c r="H121" s="542"/>
      <c r="I121" s="545"/>
      <c r="J121" s="545"/>
      <c r="K121" s="544"/>
      <c r="L121" s="544"/>
      <c r="M121" s="544"/>
      <c r="N121" s="544"/>
      <c r="O121" s="541"/>
      <c r="P121" s="541"/>
      <c r="Q121" s="541"/>
      <c r="R121" s="544"/>
      <c r="S121" s="544"/>
      <c r="T121" s="544"/>
      <c r="U121" s="544"/>
      <c r="V121" s="548"/>
      <c r="W121" s="544"/>
      <c r="X121" s="541"/>
      <c r="Y121" s="541"/>
      <c r="Z121" s="541"/>
    </row>
    <row r="122" ht="21.0" customHeight="1">
      <c r="A122" s="541"/>
      <c r="B122" s="542"/>
      <c r="C122" s="542"/>
      <c r="D122" s="542"/>
      <c r="E122" s="542"/>
      <c r="F122" s="550"/>
      <c r="G122" s="550"/>
      <c r="H122" s="542"/>
      <c r="I122" s="545"/>
      <c r="J122" s="545"/>
      <c r="K122" s="544"/>
      <c r="L122" s="544"/>
      <c r="M122" s="544"/>
      <c r="N122" s="544"/>
      <c r="O122" s="541"/>
      <c r="P122" s="541"/>
      <c r="Q122" s="541"/>
      <c r="R122" s="544"/>
      <c r="S122" s="544"/>
      <c r="T122" s="544"/>
      <c r="U122" s="544"/>
      <c r="V122" s="548"/>
      <c r="W122" s="544"/>
      <c r="X122" s="541"/>
      <c r="Y122" s="541"/>
      <c r="Z122" s="541"/>
    </row>
    <row r="123" ht="21.0" customHeight="1">
      <c r="A123" s="541"/>
      <c r="B123" s="542"/>
      <c r="C123" s="542"/>
      <c r="D123" s="542"/>
      <c r="E123" s="542"/>
      <c r="F123" s="550"/>
      <c r="G123" s="550"/>
      <c r="H123" s="542"/>
      <c r="I123" s="545"/>
      <c r="J123" s="545"/>
      <c r="K123" s="544"/>
      <c r="L123" s="544"/>
      <c r="M123" s="544"/>
      <c r="N123" s="544"/>
      <c r="O123" s="541"/>
      <c r="P123" s="541"/>
      <c r="Q123" s="541"/>
      <c r="R123" s="544"/>
      <c r="S123" s="544"/>
      <c r="T123" s="544"/>
      <c r="U123" s="544"/>
      <c r="V123" s="548"/>
      <c r="W123" s="544"/>
      <c r="X123" s="541"/>
      <c r="Y123" s="541"/>
      <c r="Z123" s="541"/>
    </row>
    <row r="124" ht="21.0" customHeight="1">
      <c r="A124" s="541"/>
      <c r="B124" s="542"/>
      <c r="C124" s="542"/>
      <c r="D124" s="542"/>
      <c r="E124" s="542"/>
      <c r="F124" s="550"/>
      <c r="G124" s="550"/>
      <c r="H124" s="542"/>
      <c r="I124" s="545"/>
      <c r="J124" s="545"/>
      <c r="K124" s="544"/>
      <c r="L124" s="544"/>
      <c r="M124" s="544"/>
      <c r="N124" s="544"/>
      <c r="O124" s="541"/>
      <c r="P124" s="541"/>
      <c r="Q124" s="541"/>
      <c r="R124" s="544"/>
      <c r="S124" s="544"/>
      <c r="T124" s="544"/>
      <c r="U124" s="544"/>
      <c r="V124" s="548"/>
      <c r="W124" s="544"/>
      <c r="X124" s="541"/>
      <c r="Y124" s="541"/>
      <c r="Z124" s="541"/>
    </row>
    <row r="125" ht="21.0" customHeight="1">
      <c r="A125" s="541"/>
      <c r="B125" s="542"/>
      <c r="C125" s="542"/>
      <c r="D125" s="542"/>
      <c r="E125" s="542"/>
      <c r="F125" s="550"/>
      <c r="G125" s="550"/>
      <c r="H125" s="542"/>
      <c r="I125" s="545"/>
      <c r="J125" s="545"/>
      <c r="K125" s="544"/>
      <c r="L125" s="544"/>
      <c r="M125" s="544"/>
      <c r="N125" s="544"/>
      <c r="O125" s="541"/>
      <c r="P125" s="541"/>
      <c r="Q125" s="541"/>
      <c r="R125" s="544"/>
      <c r="S125" s="544"/>
      <c r="T125" s="544"/>
      <c r="U125" s="544"/>
      <c r="V125" s="548"/>
      <c r="W125" s="544"/>
      <c r="X125" s="541"/>
      <c r="Y125" s="541"/>
      <c r="Z125" s="541"/>
    </row>
    <row r="126" ht="21.0" customHeight="1">
      <c r="A126" s="541"/>
      <c r="B126" s="542"/>
      <c r="C126" s="542"/>
      <c r="D126" s="542"/>
      <c r="E126" s="542"/>
      <c r="F126" s="550"/>
      <c r="G126" s="550"/>
      <c r="H126" s="542"/>
      <c r="I126" s="545"/>
      <c r="J126" s="545"/>
      <c r="K126" s="544"/>
      <c r="L126" s="544"/>
      <c r="M126" s="544"/>
      <c r="N126" s="544"/>
      <c r="O126" s="541"/>
      <c r="P126" s="541"/>
      <c r="Q126" s="541"/>
      <c r="R126" s="544"/>
      <c r="S126" s="544"/>
      <c r="T126" s="544"/>
      <c r="U126" s="544"/>
      <c r="V126" s="548"/>
      <c r="W126" s="544"/>
      <c r="X126" s="541"/>
      <c r="Y126" s="541"/>
      <c r="Z126" s="541"/>
    </row>
    <row r="127" ht="21.0" customHeight="1">
      <c r="A127" s="541"/>
      <c r="B127" s="542"/>
      <c r="C127" s="542"/>
      <c r="D127" s="542"/>
      <c r="E127" s="542"/>
      <c r="F127" s="550"/>
      <c r="G127" s="550"/>
      <c r="H127" s="542"/>
      <c r="I127" s="545"/>
      <c r="J127" s="545"/>
      <c r="K127" s="544"/>
      <c r="L127" s="544"/>
      <c r="M127" s="544"/>
      <c r="N127" s="544"/>
      <c r="O127" s="541"/>
      <c r="P127" s="541"/>
      <c r="Q127" s="541"/>
      <c r="R127" s="544"/>
      <c r="S127" s="544"/>
      <c r="T127" s="544"/>
      <c r="U127" s="544"/>
      <c r="V127" s="548"/>
      <c r="W127" s="544"/>
      <c r="X127" s="541"/>
      <c r="Y127" s="541"/>
      <c r="Z127" s="541"/>
    </row>
    <row r="128" ht="21.0" customHeight="1">
      <c r="A128" s="541"/>
      <c r="B128" s="542"/>
      <c r="C128" s="542"/>
      <c r="D128" s="542"/>
      <c r="E128" s="542"/>
      <c r="F128" s="550"/>
      <c r="G128" s="550"/>
      <c r="H128" s="542"/>
      <c r="I128" s="545"/>
      <c r="J128" s="545"/>
      <c r="K128" s="544"/>
      <c r="L128" s="544"/>
      <c r="M128" s="544"/>
      <c r="N128" s="544"/>
      <c r="O128" s="541"/>
      <c r="P128" s="541"/>
      <c r="Q128" s="541"/>
      <c r="R128" s="544"/>
      <c r="S128" s="544"/>
      <c r="T128" s="544"/>
      <c r="U128" s="544"/>
      <c r="V128" s="548"/>
      <c r="W128" s="544"/>
      <c r="X128" s="541"/>
      <c r="Y128" s="541"/>
      <c r="Z128" s="541"/>
    </row>
    <row r="129" ht="21.0" customHeight="1">
      <c r="A129" s="541"/>
      <c r="B129" s="542"/>
      <c r="C129" s="542"/>
      <c r="D129" s="542"/>
      <c r="E129" s="542"/>
      <c r="F129" s="550"/>
      <c r="G129" s="550"/>
      <c r="H129" s="542"/>
      <c r="I129" s="545"/>
      <c r="J129" s="545"/>
      <c r="K129" s="544"/>
      <c r="L129" s="544"/>
      <c r="M129" s="544"/>
      <c r="N129" s="544"/>
      <c r="O129" s="541"/>
      <c r="P129" s="541"/>
      <c r="Q129" s="541"/>
      <c r="R129" s="544"/>
      <c r="S129" s="544"/>
      <c r="T129" s="544"/>
      <c r="U129" s="544"/>
      <c r="V129" s="548"/>
      <c r="W129" s="544"/>
      <c r="X129" s="541"/>
      <c r="Y129" s="541"/>
      <c r="Z129" s="541"/>
    </row>
    <row r="130" ht="21.0" customHeight="1">
      <c r="A130" s="541"/>
      <c r="B130" s="542"/>
      <c r="C130" s="542"/>
      <c r="D130" s="542"/>
      <c r="E130" s="542"/>
      <c r="F130" s="550"/>
      <c r="G130" s="550"/>
      <c r="H130" s="542"/>
      <c r="I130" s="545"/>
      <c r="J130" s="545"/>
      <c r="K130" s="544"/>
      <c r="L130" s="544"/>
      <c r="M130" s="544"/>
      <c r="N130" s="544"/>
      <c r="O130" s="541"/>
      <c r="P130" s="541"/>
      <c r="Q130" s="541"/>
      <c r="R130" s="544"/>
      <c r="S130" s="544"/>
      <c r="T130" s="544"/>
      <c r="U130" s="544"/>
      <c r="V130" s="548"/>
      <c r="W130" s="544"/>
      <c r="X130" s="541"/>
      <c r="Y130" s="541"/>
      <c r="Z130" s="541"/>
    </row>
    <row r="131" ht="21.0" customHeight="1">
      <c r="A131" s="541"/>
      <c r="B131" s="542"/>
      <c r="C131" s="542"/>
      <c r="D131" s="542"/>
      <c r="E131" s="542"/>
      <c r="F131" s="550"/>
      <c r="G131" s="550"/>
      <c r="H131" s="542"/>
      <c r="I131" s="545"/>
      <c r="J131" s="545"/>
      <c r="K131" s="544"/>
      <c r="L131" s="544"/>
      <c r="M131" s="544"/>
      <c r="N131" s="544"/>
      <c r="O131" s="541"/>
      <c r="P131" s="541"/>
      <c r="Q131" s="541"/>
      <c r="R131" s="544"/>
      <c r="S131" s="544"/>
      <c r="T131" s="544"/>
      <c r="U131" s="544"/>
      <c r="V131" s="548"/>
      <c r="W131" s="544"/>
      <c r="X131" s="541"/>
      <c r="Y131" s="541"/>
      <c r="Z131" s="541"/>
    </row>
    <row r="132" ht="21.0" customHeight="1">
      <c r="A132" s="541"/>
      <c r="B132" s="542"/>
      <c r="C132" s="542"/>
      <c r="D132" s="542"/>
      <c r="E132" s="542"/>
      <c r="F132" s="550"/>
      <c r="G132" s="550"/>
      <c r="H132" s="542"/>
      <c r="I132" s="545"/>
      <c r="J132" s="545"/>
      <c r="K132" s="544"/>
      <c r="L132" s="544"/>
      <c r="M132" s="544"/>
      <c r="N132" s="544"/>
      <c r="O132" s="541"/>
      <c r="P132" s="541"/>
      <c r="Q132" s="541"/>
      <c r="R132" s="544"/>
      <c r="S132" s="544"/>
      <c r="T132" s="544"/>
      <c r="U132" s="544"/>
      <c r="V132" s="548"/>
      <c r="W132" s="544"/>
      <c r="X132" s="541"/>
      <c r="Y132" s="541"/>
      <c r="Z132" s="541"/>
    </row>
    <row r="133" ht="21.0" customHeight="1">
      <c r="A133" s="541"/>
      <c r="B133" s="542"/>
      <c r="C133" s="542"/>
      <c r="D133" s="542"/>
      <c r="E133" s="542"/>
      <c r="F133" s="550"/>
      <c r="G133" s="550"/>
      <c r="H133" s="542"/>
      <c r="I133" s="545"/>
      <c r="J133" s="545"/>
      <c r="K133" s="544"/>
      <c r="L133" s="544"/>
      <c r="M133" s="544"/>
      <c r="N133" s="544"/>
      <c r="O133" s="541"/>
      <c r="P133" s="541"/>
      <c r="Q133" s="541"/>
      <c r="R133" s="544"/>
      <c r="S133" s="544"/>
      <c r="T133" s="544"/>
      <c r="U133" s="544"/>
      <c r="V133" s="548"/>
      <c r="W133" s="544"/>
      <c r="X133" s="541"/>
      <c r="Y133" s="541"/>
      <c r="Z133" s="541"/>
    </row>
    <row r="134" ht="21.0" customHeight="1">
      <c r="A134" s="541"/>
      <c r="B134" s="542"/>
      <c r="C134" s="542"/>
      <c r="D134" s="542"/>
      <c r="E134" s="542"/>
      <c r="F134" s="550"/>
      <c r="G134" s="550"/>
      <c r="H134" s="542"/>
      <c r="I134" s="545"/>
      <c r="J134" s="545"/>
      <c r="K134" s="544"/>
      <c r="L134" s="544"/>
      <c r="M134" s="544"/>
      <c r="N134" s="544"/>
      <c r="O134" s="541"/>
      <c r="P134" s="541"/>
      <c r="Q134" s="541"/>
      <c r="R134" s="544"/>
      <c r="S134" s="544"/>
      <c r="T134" s="544"/>
      <c r="U134" s="544"/>
      <c r="V134" s="548"/>
      <c r="W134" s="544"/>
      <c r="X134" s="541"/>
      <c r="Y134" s="541"/>
      <c r="Z134" s="541"/>
    </row>
    <row r="135" ht="21.0" customHeight="1">
      <c r="A135" s="541"/>
      <c r="B135" s="542"/>
      <c r="C135" s="542"/>
      <c r="D135" s="542"/>
      <c r="E135" s="542"/>
      <c r="F135" s="550"/>
      <c r="G135" s="550"/>
      <c r="H135" s="542"/>
      <c r="I135" s="545"/>
      <c r="J135" s="545"/>
      <c r="K135" s="544"/>
      <c r="L135" s="544"/>
      <c r="M135" s="544"/>
      <c r="N135" s="544"/>
      <c r="O135" s="541"/>
      <c r="P135" s="541"/>
      <c r="Q135" s="541"/>
      <c r="R135" s="544"/>
      <c r="S135" s="544"/>
      <c r="T135" s="544"/>
      <c r="U135" s="544"/>
      <c r="V135" s="548"/>
      <c r="W135" s="544"/>
      <c r="X135" s="541"/>
      <c r="Y135" s="541"/>
      <c r="Z135" s="541"/>
    </row>
    <row r="136" ht="21.0" customHeight="1">
      <c r="A136" s="541"/>
      <c r="B136" s="542"/>
      <c r="C136" s="542"/>
      <c r="D136" s="542"/>
      <c r="E136" s="542"/>
      <c r="F136" s="550"/>
      <c r="G136" s="550"/>
      <c r="H136" s="542"/>
      <c r="I136" s="545"/>
      <c r="J136" s="545"/>
      <c r="K136" s="544"/>
      <c r="L136" s="544"/>
      <c r="M136" s="544"/>
      <c r="N136" s="544"/>
      <c r="O136" s="541"/>
      <c r="P136" s="541"/>
      <c r="Q136" s="541"/>
      <c r="R136" s="544"/>
      <c r="S136" s="544"/>
      <c r="T136" s="544"/>
      <c r="U136" s="544"/>
      <c r="V136" s="548"/>
      <c r="W136" s="544"/>
      <c r="X136" s="541"/>
      <c r="Y136" s="541"/>
      <c r="Z136" s="541"/>
    </row>
    <row r="137" ht="21.0" customHeight="1">
      <c r="A137" s="541"/>
      <c r="B137" s="542"/>
      <c r="C137" s="542"/>
      <c r="D137" s="542"/>
      <c r="E137" s="542"/>
      <c r="F137" s="550"/>
      <c r="G137" s="550"/>
      <c r="H137" s="542"/>
      <c r="I137" s="545"/>
      <c r="J137" s="545"/>
      <c r="K137" s="544"/>
      <c r="L137" s="544"/>
      <c r="M137" s="544"/>
      <c r="N137" s="544"/>
      <c r="O137" s="541"/>
      <c r="P137" s="541"/>
      <c r="Q137" s="541"/>
      <c r="R137" s="544"/>
      <c r="S137" s="544"/>
      <c r="T137" s="544"/>
      <c r="U137" s="544"/>
      <c r="V137" s="548"/>
      <c r="W137" s="544"/>
      <c r="X137" s="541"/>
      <c r="Y137" s="541"/>
      <c r="Z137" s="541"/>
    </row>
    <row r="138" ht="21.0" customHeight="1">
      <c r="A138" s="541"/>
      <c r="B138" s="542"/>
      <c r="C138" s="542"/>
      <c r="D138" s="542"/>
      <c r="E138" s="542"/>
      <c r="F138" s="550"/>
      <c r="G138" s="550"/>
      <c r="H138" s="542"/>
      <c r="I138" s="545"/>
      <c r="J138" s="545"/>
      <c r="K138" s="544"/>
      <c r="L138" s="544"/>
      <c r="M138" s="544"/>
      <c r="N138" s="544"/>
      <c r="O138" s="541"/>
      <c r="P138" s="541"/>
      <c r="Q138" s="541"/>
      <c r="R138" s="544"/>
      <c r="S138" s="544"/>
      <c r="T138" s="544"/>
      <c r="U138" s="544"/>
      <c r="V138" s="548"/>
      <c r="W138" s="544"/>
      <c r="X138" s="541"/>
      <c r="Y138" s="541"/>
      <c r="Z138" s="541"/>
    </row>
    <row r="139" ht="21.0" customHeight="1">
      <c r="A139" s="541"/>
      <c r="B139" s="542"/>
      <c r="C139" s="542"/>
      <c r="D139" s="542"/>
      <c r="E139" s="542"/>
      <c r="F139" s="550"/>
      <c r="G139" s="550"/>
      <c r="H139" s="542"/>
      <c r="I139" s="545"/>
      <c r="J139" s="545"/>
      <c r="K139" s="544"/>
      <c r="L139" s="544"/>
      <c r="M139" s="544"/>
      <c r="N139" s="544"/>
      <c r="O139" s="541"/>
      <c r="P139" s="541"/>
      <c r="Q139" s="541"/>
      <c r="R139" s="544"/>
      <c r="S139" s="544"/>
      <c r="T139" s="544"/>
      <c r="U139" s="544"/>
      <c r="V139" s="548"/>
      <c r="W139" s="544"/>
      <c r="X139" s="541"/>
      <c r="Y139" s="541"/>
      <c r="Z139" s="541"/>
    </row>
    <row r="140" ht="21.0" customHeight="1">
      <c r="A140" s="541"/>
      <c r="B140" s="542"/>
      <c r="C140" s="542"/>
      <c r="D140" s="542"/>
      <c r="E140" s="542"/>
      <c r="F140" s="550"/>
      <c r="G140" s="550"/>
      <c r="H140" s="542"/>
      <c r="I140" s="545"/>
      <c r="J140" s="545"/>
      <c r="K140" s="544"/>
      <c r="L140" s="544"/>
      <c r="M140" s="544"/>
      <c r="N140" s="544"/>
      <c r="O140" s="541"/>
      <c r="P140" s="541"/>
      <c r="Q140" s="541"/>
      <c r="R140" s="544"/>
      <c r="S140" s="544"/>
      <c r="T140" s="544"/>
      <c r="U140" s="544"/>
      <c r="V140" s="548"/>
      <c r="W140" s="544"/>
      <c r="X140" s="541"/>
      <c r="Y140" s="541"/>
      <c r="Z140" s="541"/>
    </row>
    <row r="141" ht="21.0" customHeight="1">
      <c r="A141" s="541"/>
      <c r="B141" s="542"/>
      <c r="C141" s="542"/>
      <c r="D141" s="542"/>
      <c r="E141" s="542"/>
      <c r="F141" s="550"/>
      <c r="G141" s="550"/>
      <c r="H141" s="542"/>
      <c r="I141" s="545"/>
      <c r="J141" s="545"/>
      <c r="K141" s="544"/>
      <c r="L141" s="544"/>
      <c r="M141" s="544"/>
      <c r="N141" s="544"/>
      <c r="O141" s="541"/>
      <c r="P141" s="541"/>
      <c r="Q141" s="541"/>
      <c r="R141" s="544"/>
      <c r="S141" s="544"/>
      <c r="T141" s="544"/>
      <c r="U141" s="544"/>
      <c r="V141" s="548"/>
      <c r="W141" s="544"/>
      <c r="X141" s="541"/>
      <c r="Y141" s="541"/>
      <c r="Z141" s="541"/>
    </row>
    <row r="142" ht="21.0" customHeight="1">
      <c r="A142" s="541"/>
      <c r="B142" s="542"/>
      <c r="C142" s="542"/>
      <c r="D142" s="542"/>
      <c r="E142" s="542"/>
      <c r="F142" s="550"/>
      <c r="G142" s="550"/>
      <c r="H142" s="542"/>
      <c r="I142" s="545"/>
      <c r="J142" s="545"/>
      <c r="K142" s="544"/>
      <c r="L142" s="544"/>
      <c r="M142" s="544"/>
      <c r="N142" s="544"/>
      <c r="O142" s="541"/>
      <c r="P142" s="541"/>
      <c r="Q142" s="541"/>
      <c r="R142" s="544"/>
      <c r="S142" s="544"/>
      <c r="T142" s="544"/>
      <c r="U142" s="544"/>
      <c r="V142" s="548"/>
      <c r="W142" s="544"/>
      <c r="X142" s="541"/>
      <c r="Y142" s="541"/>
      <c r="Z142" s="541"/>
    </row>
    <row r="143" ht="21.0" customHeight="1">
      <c r="A143" s="541"/>
      <c r="B143" s="542"/>
      <c r="C143" s="542"/>
      <c r="D143" s="542"/>
      <c r="E143" s="542"/>
      <c r="F143" s="550"/>
      <c r="G143" s="550"/>
      <c r="H143" s="542"/>
      <c r="I143" s="545"/>
      <c r="J143" s="545"/>
      <c r="K143" s="544"/>
      <c r="L143" s="544"/>
      <c r="M143" s="544"/>
      <c r="N143" s="544"/>
      <c r="O143" s="541"/>
      <c r="P143" s="541"/>
      <c r="Q143" s="541"/>
      <c r="R143" s="544"/>
      <c r="S143" s="544"/>
      <c r="T143" s="544"/>
      <c r="U143" s="544"/>
      <c r="V143" s="548"/>
      <c r="W143" s="544"/>
      <c r="X143" s="541"/>
      <c r="Y143" s="541"/>
      <c r="Z143" s="541"/>
    </row>
    <row r="144" ht="21.0" customHeight="1">
      <c r="A144" s="541"/>
      <c r="B144" s="542"/>
      <c r="C144" s="542"/>
      <c r="D144" s="542"/>
      <c r="E144" s="542"/>
      <c r="F144" s="550"/>
      <c r="G144" s="550"/>
      <c r="H144" s="542"/>
      <c r="I144" s="545"/>
      <c r="J144" s="545"/>
      <c r="K144" s="544"/>
      <c r="L144" s="544"/>
      <c r="M144" s="544"/>
      <c r="N144" s="544"/>
      <c r="O144" s="541"/>
      <c r="P144" s="541"/>
      <c r="Q144" s="541"/>
      <c r="R144" s="544"/>
      <c r="S144" s="544"/>
      <c r="T144" s="544"/>
      <c r="U144" s="544"/>
      <c r="V144" s="548"/>
      <c r="W144" s="544"/>
      <c r="X144" s="541"/>
      <c r="Y144" s="541"/>
      <c r="Z144" s="541"/>
    </row>
    <row r="145" ht="21.0" customHeight="1">
      <c r="A145" s="541"/>
      <c r="B145" s="542"/>
      <c r="C145" s="542"/>
      <c r="D145" s="542"/>
      <c r="E145" s="542"/>
      <c r="F145" s="550"/>
      <c r="G145" s="550"/>
      <c r="H145" s="542"/>
      <c r="I145" s="545"/>
      <c r="J145" s="545"/>
      <c r="K145" s="544"/>
      <c r="L145" s="544"/>
      <c r="M145" s="544"/>
      <c r="N145" s="544"/>
      <c r="O145" s="541"/>
      <c r="P145" s="541"/>
      <c r="Q145" s="541"/>
      <c r="R145" s="544"/>
      <c r="S145" s="544"/>
      <c r="T145" s="544"/>
      <c r="U145" s="544"/>
      <c r="V145" s="548"/>
      <c r="W145" s="544"/>
      <c r="X145" s="541"/>
      <c r="Y145" s="541"/>
      <c r="Z145" s="541"/>
    </row>
    <row r="146" ht="21.0" customHeight="1">
      <c r="A146" s="541"/>
      <c r="B146" s="542"/>
      <c r="C146" s="542"/>
      <c r="D146" s="542"/>
      <c r="E146" s="542"/>
      <c r="F146" s="550"/>
      <c r="G146" s="550"/>
      <c r="H146" s="542"/>
      <c r="I146" s="545"/>
      <c r="J146" s="545"/>
      <c r="K146" s="544"/>
      <c r="L146" s="544"/>
      <c r="M146" s="544"/>
      <c r="N146" s="544"/>
      <c r="O146" s="541"/>
      <c r="P146" s="541"/>
      <c r="Q146" s="541"/>
      <c r="R146" s="544"/>
      <c r="S146" s="544"/>
      <c r="T146" s="544"/>
      <c r="U146" s="544"/>
      <c r="V146" s="548"/>
      <c r="W146" s="544"/>
      <c r="X146" s="541"/>
      <c r="Y146" s="541"/>
      <c r="Z146" s="541"/>
    </row>
    <row r="147" ht="21.0" customHeight="1">
      <c r="A147" s="541"/>
      <c r="B147" s="542"/>
      <c r="C147" s="542"/>
      <c r="D147" s="542"/>
      <c r="E147" s="542"/>
      <c r="F147" s="550"/>
      <c r="G147" s="550"/>
      <c r="H147" s="542"/>
      <c r="I147" s="545"/>
      <c r="J147" s="545"/>
      <c r="K147" s="544"/>
      <c r="L147" s="544"/>
      <c r="M147" s="544"/>
      <c r="N147" s="544"/>
      <c r="O147" s="541"/>
      <c r="P147" s="541"/>
      <c r="Q147" s="541"/>
      <c r="R147" s="544"/>
      <c r="S147" s="544"/>
      <c r="T147" s="544"/>
      <c r="U147" s="544"/>
      <c r="V147" s="548"/>
      <c r="W147" s="544"/>
      <c r="X147" s="541"/>
      <c r="Y147" s="541"/>
      <c r="Z147" s="541"/>
    </row>
    <row r="148" ht="21.0" customHeight="1">
      <c r="A148" s="541"/>
      <c r="B148" s="542"/>
      <c r="C148" s="542"/>
      <c r="D148" s="542"/>
      <c r="E148" s="542"/>
      <c r="F148" s="550"/>
      <c r="G148" s="550"/>
      <c r="H148" s="542"/>
      <c r="I148" s="545"/>
      <c r="J148" s="545"/>
      <c r="K148" s="544"/>
      <c r="L148" s="544"/>
      <c r="M148" s="544"/>
      <c r="N148" s="544"/>
      <c r="O148" s="541"/>
      <c r="P148" s="541"/>
      <c r="Q148" s="541"/>
      <c r="R148" s="544"/>
      <c r="S148" s="544"/>
      <c r="T148" s="544"/>
      <c r="U148" s="544"/>
      <c r="V148" s="548"/>
      <c r="W148" s="544"/>
      <c r="X148" s="541"/>
      <c r="Y148" s="541"/>
      <c r="Z148" s="541"/>
    </row>
    <row r="149" ht="21.0" customHeight="1">
      <c r="A149" s="541"/>
      <c r="B149" s="542"/>
      <c r="C149" s="542"/>
      <c r="D149" s="542"/>
      <c r="E149" s="542"/>
      <c r="F149" s="550"/>
      <c r="G149" s="550"/>
      <c r="H149" s="542"/>
      <c r="I149" s="545"/>
      <c r="J149" s="545"/>
      <c r="K149" s="544"/>
      <c r="L149" s="544"/>
      <c r="M149" s="544"/>
      <c r="N149" s="544"/>
      <c r="O149" s="541"/>
      <c r="P149" s="541"/>
      <c r="Q149" s="541"/>
      <c r="R149" s="544"/>
      <c r="S149" s="544"/>
      <c r="T149" s="544"/>
      <c r="U149" s="544"/>
      <c r="V149" s="548"/>
      <c r="W149" s="544"/>
      <c r="X149" s="541"/>
      <c r="Y149" s="541"/>
      <c r="Z149" s="541"/>
    </row>
    <row r="150" ht="21.0" customHeight="1">
      <c r="A150" s="541"/>
      <c r="B150" s="542"/>
      <c r="C150" s="542"/>
      <c r="D150" s="542"/>
      <c r="E150" s="542"/>
      <c r="F150" s="550"/>
      <c r="G150" s="550"/>
      <c r="H150" s="542"/>
      <c r="I150" s="545"/>
      <c r="J150" s="545"/>
      <c r="K150" s="544"/>
      <c r="L150" s="544"/>
      <c r="M150" s="544"/>
      <c r="N150" s="544"/>
      <c r="O150" s="541"/>
      <c r="P150" s="541"/>
      <c r="Q150" s="541"/>
      <c r="R150" s="544"/>
      <c r="S150" s="544"/>
      <c r="T150" s="544"/>
      <c r="U150" s="544"/>
      <c r="V150" s="548"/>
      <c r="W150" s="544"/>
      <c r="X150" s="541"/>
      <c r="Y150" s="541"/>
      <c r="Z150" s="541"/>
    </row>
    <row r="151" ht="21.0" customHeight="1">
      <c r="A151" s="541"/>
      <c r="B151" s="542"/>
      <c r="C151" s="542"/>
      <c r="D151" s="542"/>
      <c r="E151" s="542"/>
      <c r="F151" s="550"/>
      <c r="G151" s="550"/>
      <c r="H151" s="542"/>
      <c r="I151" s="545"/>
      <c r="J151" s="545"/>
      <c r="K151" s="544"/>
      <c r="L151" s="544"/>
      <c r="M151" s="544"/>
      <c r="N151" s="544"/>
      <c r="O151" s="541"/>
      <c r="P151" s="541"/>
      <c r="Q151" s="541"/>
      <c r="R151" s="544"/>
      <c r="S151" s="544"/>
      <c r="T151" s="544"/>
      <c r="U151" s="544"/>
      <c r="V151" s="548"/>
      <c r="W151" s="544"/>
      <c r="X151" s="541"/>
      <c r="Y151" s="541"/>
      <c r="Z151" s="541"/>
    </row>
    <row r="152" ht="21.0" customHeight="1">
      <c r="A152" s="541"/>
      <c r="B152" s="542"/>
      <c r="C152" s="542"/>
      <c r="D152" s="542"/>
      <c r="E152" s="542"/>
      <c r="F152" s="550"/>
      <c r="G152" s="550"/>
      <c r="H152" s="542"/>
      <c r="I152" s="545"/>
      <c r="J152" s="545"/>
      <c r="K152" s="544"/>
      <c r="L152" s="544"/>
      <c r="M152" s="544"/>
      <c r="N152" s="544"/>
      <c r="O152" s="541"/>
      <c r="P152" s="541"/>
      <c r="Q152" s="541"/>
      <c r="R152" s="544"/>
      <c r="S152" s="544"/>
      <c r="T152" s="544"/>
      <c r="U152" s="544"/>
      <c r="V152" s="548"/>
      <c r="W152" s="544"/>
      <c r="X152" s="541"/>
      <c r="Y152" s="541"/>
      <c r="Z152" s="541"/>
    </row>
    <row r="153" ht="21.0" customHeight="1">
      <c r="A153" s="541"/>
      <c r="B153" s="542"/>
      <c r="C153" s="542"/>
      <c r="D153" s="542"/>
      <c r="E153" s="542"/>
      <c r="F153" s="550"/>
      <c r="G153" s="550"/>
      <c r="H153" s="542"/>
      <c r="I153" s="545"/>
      <c r="J153" s="545"/>
      <c r="K153" s="544"/>
      <c r="L153" s="544"/>
      <c r="M153" s="544"/>
      <c r="N153" s="544"/>
      <c r="O153" s="541"/>
      <c r="P153" s="541"/>
      <c r="Q153" s="541"/>
      <c r="R153" s="544"/>
      <c r="S153" s="544"/>
      <c r="T153" s="544"/>
      <c r="U153" s="544"/>
      <c r="V153" s="548"/>
      <c r="W153" s="544"/>
      <c r="X153" s="541"/>
      <c r="Y153" s="541"/>
      <c r="Z153" s="541"/>
    </row>
    <row r="154" ht="21.0" customHeight="1">
      <c r="A154" s="541"/>
      <c r="B154" s="542"/>
      <c r="C154" s="542"/>
      <c r="D154" s="542"/>
      <c r="E154" s="542"/>
      <c r="F154" s="550"/>
      <c r="G154" s="550"/>
      <c r="H154" s="542"/>
      <c r="I154" s="545"/>
      <c r="J154" s="545"/>
      <c r="K154" s="544"/>
      <c r="L154" s="544"/>
      <c r="M154" s="544"/>
      <c r="N154" s="544"/>
      <c r="O154" s="541"/>
      <c r="P154" s="541"/>
      <c r="Q154" s="541"/>
      <c r="R154" s="544"/>
      <c r="S154" s="544"/>
      <c r="T154" s="544"/>
      <c r="U154" s="544"/>
      <c r="V154" s="548"/>
      <c r="W154" s="544"/>
      <c r="X154" s="541"/>
      <c r="Y154" s="541"/>
      <c r="Z154" s="541"/>
    </row>
    <row r="155" ht="21.0" customHeight="1">
      <c r="A155" s="541"/>
      <c r="B155" s="542"/>
      <c r="C155" s="542"/>
      <c r="D155" s="542"/>
      <c r="E155" s="542"/>
      <c r="F155" s="550"/>
      <c r="G155" s="550"/>
      <c r="H155" s="542"/>
      <c r="I155" s="545"/>
      <c r="J155" s="545"/>
      <c r="K155" s="544"/>
      <c r="L155" s="544"/>
      <c r="M155" s="544"/>
      <c r="N155" s="544"/>
      <c r="O155" s="541"/>
      <c r="P155" s="541"/>
      <c r="Q155" s="541"/>
      <c r="R155" s="544"/>
      <c r="S155" s="544"/>
      <c r="T155" s="544"/>
      <c r="U155" s="544"/>
      <c r="V155" s="548"/>
      <c r="W155" s="544"/>
      <c r="X155" s="541"/>
      <c r="Y155" s="541"/>
      <c r="Z155" s="541"/>
    </row>
    <row r="156" ht="21.0" customHeight="1">
      <c r="A156" s="541"/>
      <c r="B156" s="542"/>
      <c r="C156" s="542"/>
      <c r="D156" s="542"/>
      <c r="E156" s="542"/>
      <c r="F156" s="550"/>
      <c r="G156" s="550"/>
      <c r="H156" s="542"/>
      <c r="I156" s="545"/>
      <c r="J156" s="545"/>
      <c r="K156" s="544"/>
      <c r="L156" s="544"/>
      <c r="M156" s="544"/>
      <c r="N156" s="544"/>
      <c r="O156" s="541"/>
      <c r="P156" s="541"/>
      <c r="Q156" s="541"/>
      <c r="R156" s="544"/>
      <c r="S156" s="544"/>
      <c r="T156" s="544"/>
      <c r="U156" s="544"/>
      <c r="V156" s="548"/>
      <c r="W156" s="544"/>
      <c r="X156" s="541"/>
      <c r="Y156" s="541"/>
      <c r="Z156" s="541"/>
    </row>
    <row r="157" ht="21.0" customHeight="1">
      <c r="A157" s="541"/>
      <c r="B157" s="542"/>
      <c r="C157" s="542"/>
      <c r="D157" s="542"/>
      <c r="E157" s="542"/>
      <c r="F157" s="550"/>
      <c r="G157" s="550"/>
      <c r="H157" s="542"/>
      <c r="I157" s="545"/>
      <c r="J157" s="545"/>
      <c r="K157" s="544"/>
      <c r="L157" s="544"/>
      <c r="M157" s="544"/>
      <c r="N157" s="544"/>
      <c r="O157" s="541"/>
      <c r="P157" s="541"/>
      <c r="Q157" s="541"/>
      <c r="R157" s="544"/>
      <c r="S157" s="544"/>
      <c r="T157" s="544"/>
      <c r="U157" s="544"/>
      <c r="V157" s="548"/>
      <c r="W157" s="544"/>
      <c r="X157" s="541"/>
      <c r="Y157" s="541"/>
      <c r="Z157" s="541"/>
    </row>
    <row r="158" ht="21.0" customHeight="1">
      <c r="A158" s="541"/>
      <c r="B158" s="542"/>
      <c r="C158" s="542"/>
      <c r="D158" s="542"/>
      <c r="E158" s="542"/>
      <c r="F158" s="550"/>
      <c r="G158" s="550"/>
      <c r="H158" s="542"/>
      <c r="I158" s="545"/>
      <c r="J158" s="545"/>
      <c r="K158" s="544"/>
      <c r="L158" s="544"/>
      <c r="M158" s="544"/>
      <c r="N158" s="544"/>
      <c r="O158" s="541"/>
      <c r="P158" s="541"/>
      <c r="Q158" s="541"/>
      <c r="R158" s="544"/>
      <c r="S158" s="544"/>
      <c r="T158" s="544"/>
      <c r="U158" s="544"/>
      <c r="V158" s="548"/>
      <c r="W158" s="544"/>
      <c r="X158" s="541"/>
      <c r="Y158" s="541"/>
      <c r="Z158" s="541"/>
    </row>
    <row r="159" ht="21.0" customHeight="1">
      <c r="A159" s="541"/>
      <c r="B159" s="542"/>
      <c r="C159" s="542"/>
      <c r="D159" s="542"/>
      <c r="E159" s="542"/>
      <c r="F159" s="550"/>
      <c r="G159" s="550"/>
      <c r="H159" s="542"/>
      <c r="I159" s="545"/>
      <c r="J159" s="545"/>
      <c r="K159" s="544"/>
      <c r="L159" s="544"/>
      <c r="M159" s="544"/>
      <c r="N159" s="544"/>
      <c r="O159" s="541"/>
      <c r="P159" s="541"/>
      <c r="Q159" s="541"/>
      <c r="R159" s="544"/>
      <c r="S159" s="544"/>
      <c r="T159" s="544"/>
      <c r="U159" s="544"/>
      <c r="V159" s="548"/>
      <c r="W159" s="544"/>
      <c r="X159" s="541"/>
      <c r="Y159" s="541"/>
      <c r="Z159" s="541"/>
    </row>
    <row r="160" ht="21.0" customHeight="1">
      <c r="A160" s="541"/>
      <c r="B160" s="542"/>
      <c r="C160" s="542"/>
      <c r="D160" s="542"/>
      <c r="E160" s="542"/>
      <c r="F160" s="550"/>
      <c r="G160" s="550"/>
      <c r="H160" s="542"/>
      <c r="I160" s="545"/>
      <c r="J160" s="545"/>
      <c r="K160" s="544"/>
      <c r="L160" s="544"/>
      <c r="M160" s="544"/>
      <c r="N160" s="544"/>
      <c r="O160" s="541"/>
      <c r="P160" s="541"/>
      <c r="Q160" s="541"/>
      <c r="R160" s="544"/>
      <c r="S160" s="544"/>
      <c r="T160" s="544"/>
      <c r="U160" s="544"/>
      <c r="V160" s="548"/>
      <c r="W160" s="544"/>
      <c r="X160" s="541"/>
      <c r="Y160" s="541"/>
      <c r="Z160" s="541"/>
    </row>
    <row r="161" ht="21.0" customHeight="1">
      <c r="A161" s="541"/>
      <c r="B161" s="542"/>
      <c r="C161" s="542"/>
      <c r="D161" s="542"/>
      <c r="E161" s="542"/>
      <c r="F161" s="550"/>
      <c r="G161" s="550"/>
      <c r="H161" s="542"/>
      <c r="I161" s="545"/>
      <c r="J161" s="545"/>
      <c r="K161" s="544"/>
      <c r="L161" s="544"/>
      <c r="M161" s="544"/>
      <c r="N161" s="544"/>
      <c r="O161" s="541"/>
      <c r="P161" s="541"/>
      <c r="Q161" s="541"/>
      <c r="R161" s="544"/>
      <c r="S161" s="544"/>
      <c r="T161" s="544"/>
      <c r="U161" s="544"/>
      <c r="V161" s="548"/>
      <c r="W161" s="544"/>
      <c r="X161" s="541"/>
      <c r="Y161" s="541"/>
      <c r="Z161" s="541"/>
    </row>
    <row r="162" ht="21.0" customHeight="1">
      <c r="A162" s="541"/>
      <c r="B162" s="542"/>
      <c r="C162" s="542"/>
      <c r="D162" s="542"/>
      <c r="E162" s="542"/>
      <c r="F162" s="550"/>
      <c r="G162" s="550"/>
      <c r="H162" s="542"/>
      <c r="I162" s="545"/>
      <c r="J162" s="545"/>
      <c r="K162" s="544"/>
      <c r="L162" s="544"/>
      <c r="M162" s="544"/>
      <c r="N162" s="544"/>
      <c r="O162" s="541"/>
      <c r="P162" s="541"/>
      <c r="Q162" s="541"/>
      <c r="R162" s="544"/>
      <c r="S162" s="544"/>
      <c r="T162" s="544"/>
      <c r="U162" s="544"/>
      <c r="V162" s="548"/>
      <c r="W162" s="544"/>
      <c r="X162" s="541"/>
      <c r="Y162" s="541"/>
      <c r="Z162" s="541"/>
    </row>
    <row r="163" ht="21.0" customHeight="1">
      <c r="A163" s="541"/>
      <c r="B163" s="542"/>
      <c r="C163" s="542"/>
      <c r="D163" s="542"/>
      <c r="E163" s="542"/>
      <c r="F163" s="550"/>
      <c r="G163" s="550"/>
      <c r="H163" s="542"/>
      <c r="I163" s="545"/>
      <c r="J163" s="545"/>
      <c r="K163" s="544"/>
      <c r="L163" s="544"/>
      <c r="M163" s="544"/>
      <c r="N163" s="544"/>
      <c r="O163" s="541"/>
      <c r="P163" s="541"/>
      <c r="Q163" s="541"/>
      <c r="R163" s="544"/>
      <c r="S163" s="544"/>
      <c r="T163" s="544"/>
      <c r="U163" s="544"/>
      <c r="V163" s="548"/>
      <c r="W163" s="544"/>
      <c r="X163" s="541"/>
      <c r="Y163" s="541"/>
      <c r="Z163" s="541"/>
    </row>
    <row r="164" ht="21.0" customHeight="1">
      <c r="A164" s="541"/>
      <c r="B164" s="542"/>
      <c r="C164" s="542"/>
      <c r="D164" s="542"/>
      <c r="E164" s="542"/>
      <c r="F164" s="550"/>
      <c r="G164" s="550"/>
      <c r="H164" s="542"/>
      <c r="I164" s="545"/>
      <c r="J164" s="545"/>
      <c r="K164" s="544"/>
      <c r="L164" s="544"/>
      <c r="M164" s="544"/>
      <c r="N164" s="544"/>
      <c r="O164" s="541"/>
      <c r="P164" s="541"/>
      <c r="Q164" s="541"/>
      <c r="R164" s="544"/>
      <c r="S164" s="544"/>
      <c r="T164" s="544"/>
      <c r="U164" s="544"/>
      <c r="V164" s="548"/>
      <c r="W164" s="544"/>
      <c r="X164" s="541"/>
      <c r="Y164" s="541"/>
      <c r="Z164" s="541"/>
    </row>
    <row r="165" ht="21.0" customHeight="1">
      <c r="A165" s="541"/>
      <c r="B165" s="542"/>
      <c r="C165" s="542"/>
      <c r="D165" s="542"/>
      <c r="E165" s="542"/>
      <c r="F165" s="550"/>
      <c r="G165" s="550"/>
      <c r="H165" s="542"/>
      <c r="I165" s="545"/>
      <c r="J165" s="545"/>
      <c r="K165" s="544"/>
      <c r="L165" s="544"/>
      <c r="M165" s="544"/>
      <c r="N165" s="544"/>
      <c r="O165" s="541"/>
      <c r="P165" s="541"/>
      <c r="Q165" s="541"/>
      <c r="R165" s="544"/>
      <c r="S165" s="544"/>
      <c r="T165" s="544"/>
      <c r="U165" s="544"/>
      <c r="V165" s="548"/>
      <c r="W165" s="544"/>
      <c r="X165" s="541"/>
      <c r="Y165" s="541"/>
      <c r="Z165" s="541"/>
    </row>
    <row r="166" ht="21.0" customHeight="1">
      <c r="A166" s="541"/>
      <c r="B166" s="542"/>
      <c r="C166" s="542"/>
      <c r="D166" s="542"/>
      <c r="E166" s="542"/>
      <c r="F166" s="550"/>
      <c r="G166" s="550"/>
      <c r="H166" s="542"/>
      <c r="I166" s="545"/>
      <c r="J166" s="545"/>
      <c r="K166" s="544"/>
      <c r="L166" s="544"/>
      <c r="M166" s="544"/>
      <c r="N166" s="544"/>
      <c r="O166" s="541"/>
      <c r="P166" s="541"/>
      <c r="Q166" s="541"/>
      <c r="R166" s="544"/>
      <c r="S166" s="544"/>
      <c r="T166" s="544"/>
      <c r="U166" s="544"/>
      <c r="V166" s="548"/>
      <c r="W166" s="544"/>
      <c r="X166" s="541"/>
      <c r="Y166" s="541"/>
      <c r="Z166" s="541"/>
    </row>
    <row r="167" ht="21.0" customHeight="1">
      <c r="A167" s="541"/>
      <c r="B167" s="542"/>
      <c r="C167" s="542"/>
      <c r="D167" s="542"/>
      <c r="E167" s="542"/>
      <c r="F167" s="550"/>
      <c r="G167" s="550"/>
      <c r="H167" s="542"/>
      <c r="I167" s="545"/>
      <c r="J167" s="545"/>
      <c r="K167" s="544"/>
      <c r="L167" s="544"/>
      <c r="M167" s="544"/>
      <c r="N167" s="544"/>
      <c r="O167" s="541"/>
      <c r="P167" s="541"/>
      <c r="Q167" s="541"/>
      <c r="R167" s="544"/>
      <c r="S167" s="544"/>
      <c r="T167" s="544"/>
      <c r="U167" s="544"/>
      <c r="V167" s="548"/>
      <c r="W167" s="544"/>
      <c r="X167" s="541"/>
      <c r="Y167" s="541"/>
      <c r="Z167" s="541"/>
    </row>
    <row r="168" ht="21.0" customHeight="1">
      <c r="A168" s="541"/>
      <c r="B168" s="542"/>
      <c r="C168" s="542"/>
      <c r="D168" s="542"/>
      <c r="E168" s="542"/>
      <c r="F168" s="550"/>
      <c r="G168" s="550"/>
      <c r="H168" s="542"/>
      <c r="I168" s="545"/>
      <c r="J168" s="545"/>
      <c r="K168" s="544"/>
      <c r="L168" s="544"/>
      <c r="M168" s="544"/>
      <c r="N168" s="544"/>
      <c r="O168" s="541"/>
      <c r="P168" s="541"/>
      <c r="Q168" s="541"/>
      <c r="R168" s="544"/>
      <c r="S168" s="544"/>
      <c r="T168" s="544"/>
      <c r="U168" s="544"/>
      <c r="V168" s="548"/>
      <c r="W168" s="544"/>
      <c r="X168" s="541"/>
      <c r="Y168" s="541"/>
      <c r="Z168" s="541"/>
    </row>
    <row r="169" ht="21.0" customHeight="1">
      <c r="A169" s="541"/>
      <c r="B169" s="542"/>
      <c r="C169" s="542"/>
      <c r="D169" s="542"/>
      <c r="E169" s="542"/>
      <c r="F169" s="550"/>
      <c r="G169" s="550"/>
      <c r="H169" s="542"/>
      <c r="I169" s="545"/>
      <c r="J169" s="545"/>
      <c r="K169" s="544"/>
      <c r="L169" s="544"/>
      <c r="M169" s="544"/>
      <c r="N169" s="544"/>
      <c r="O169" s="541"/>
      <c r="P169" s="541"/>
      <c r="Q169" s="541"/>
      <c r="R169" s="544"/>
      <c r="S169" s="544"/>
      <c r="T169" s="544"/>
      <c r="U169" s="544"/>
      <c r="V169" s="548"/>
      <c r="W169" s="544"/>
      <c r="X169" s="541"/>
      <c r="Y169" s="541"/>
      <c r="Z169" s="541"/>
    </row>
    <row r="170" ht="21.0" customHeight="1">
      <c r="A170" s="541"/>
      <c r="B170" s="542"/>
      <c r="C170" s="542"/>
      <c r="D170" s="542"/>
      <c r="E170" s="542"/>
      <c r="F170" s="550"/>
      <c r="G170" s="550"/>
      <c r="H170" s="542"/>
      <c r="I170" s="545"/>
      <c r="J170" s="545"/>
      <c r="K170" s="544"/>
      <c r="L170" s="544"/>
      <c r="M170" s="544"/>
      <c r="N170" s="544"/>
      <c r="O170" s="541"/>
      <c r="P170" s="541"/>
      <c r="Q170" s="541"/>
      <c r="R170" s="544"/>
      <c r="S170" s="544"/>
      <c r="T170" s="544"/>
      <c r="U170" s="544"/>
      <c r="V170" s="548"/>
      <c r="W170" s="544"/>
      <c r="X170" s="541"/>
      <c r="Y170" s="541"/>
      <c r="Z170" s="541"/>
    </row>
    <row r="171" ht="21.0" customHeight="1">
      <c r="A171" s="541"/>
      <c r="B171" s="542"/>
      <c r="C171" s="542"/>
      <c r="D171" s="542"/>
      <c r="E171" s="542"/>
      <c r="F171" s="550"/>
      <c r="G171" s="550"/>
      <c r="H171" s="542"/>
      <c r="I171" s="545"/>
      <c r="J171" s="545"/>
      <c r="K171" s="544"/>
      <c r="L171" s="544"/>
      <c r="M171" s="544"/>
      <c r="N171" s="544"/>
      <c r="O171" s="541"/>
      <c r="P171" s="541"/>
      <c r="Q171" s="541"/>
      <c r="R171" s="544"/>
      <c r="S171" s="544"/>
      <c r="T171" s="544"/>
      <c r="U171" s="544"/>
      <c r="V171" s="548"/>
      <c r="W171" s="544"/>
      <c r="X171" s="541"/>
      <c r="Y171" s="541"/>
      <c r="Z171" s="541"/>
    </row>
    <row r="172" ht="21.0" customHeight="1">
      <c r="A172" s="541"/>
      <c r="B172" s="542"/>
      <c r="C172" s="542"/>
      <c r="D172" s="542"/>
      <c r="E172" s="542"/>
      <c r="F172" s="550"/>
      <c r="G172" s="550"/>
      <c r="H172" s="542"/>
      <c r="I172" s="545"/>
      <c r="J172" s="545"/>
      <c r="K172" s="544"/>
      <c r="L172" s="544"/>
      <c r="M172" s="544"/>
      <c r="N172" s="544"/>
      <c r="O172" s="541"/>
      <c r="P172" s="541"/>
      <c r="Q172" s="541"/>
      <c r="R172" s="544"/>
      <c r="S172" s="544"/>
      <c r="T172" s="544"/>
      <c r="U172" s="544"/>
      <c r="V172" s="548"/>
      <c r="W172" s="544"/>
      <c r="X172" s="541"/>
      <c r="Y172" s="541"/>
      <c r="Z172" s="541"/>
    </row>
    <row r="173" ht="21.0" customHeight="1">
      <c r="A173" s="541"/>
      <c r="B173" s="542"/>
      <c r="C173" s="542"/>
      <c r="D173" s="542"/>
      <c r="E173" s="542"/>
      <c r="F173" s="550"/>
      <c r="G173" s="550"/>
      <c r="H173" s="542"/>
      <c r="I173" s="545"/>
      <c r="J173" s="545"/>
      <c r="K173" s="544"/>
      <c r="L173" s="544"/>
      <c r="M173" s="544"/>
      <c r="N173" s="544"/>
      <c r="O173" s="541"/>
      <c r="P173" s="541"/>
      <c r="Q173" s="541"/>
      <c r="R173" s="544"/>
      <c r="S173" s="544"/>
      <c r="T173" s="544"/>
      <c r="U173" s="544"/>
      <c r="V173" s="548"/>
      <c r="W173" s="544"/>
      <c r="X173" s="541"/>
      <c r="Y173" s="541"/>
      <c r="Z173" s="541"/>
    </row>
    <row r="174" ht="21.0" customHeight="1">
      <c r="A174" s="541"/>
      <c r="B174" s="542"/>
      <c r="C174" s="542"/>
      <c r="D174" s="542"/>
      <c r="E174" s="542"/>
      <c r="F174" s="550"/>
      <c r="G174" s="550"/>
      <c r="H174" s="542"/>
      <c r="I174" s="545"/>
      <c r="J174" s="545"/>
      <c r="K174" s="544"/>
      <c r="L174" s="544"/>
      <c r="M174" s="544"/>
      <c r="N174" s="544"/>
      <c r="O174" s="541"/>
      <c r="P174" s="541"/>
      <c r="Q174" s="541"/>
      <c r="R174" s="544"/>
      <c r="S174" s="544"/>
      <c r="T174" s="544"/>
      <c r="U174" s="544"/>
      <c r="V174" s="548"/>
      <c r="W174" s="544"/>
      <c r="X174" s="541"/>
      <c r="Y174" s="541"/>
      <c r="Z174" s="541"/>
    </row>
    <row r="175" ht="21.0" customHeight="1">
      <c r="A175" s="541"/>
      <c r="B175" s="542"/>
      <c r="C175" s="542"/>
      <c r="D175" s="542"/>
      <c r="E175" s="542"/>
      <c r="F175" s="550"/>
      <c r="G175" s="550"/>
      <c r="H175" s="542"/>
      <c r="I175" s="545"/>
      <c r="J175" s="545"/>
      <c r="K175" s="544"/>
      <c r="L175" s="544"/>
      <c r="M175" s="544"/>
      <c r="N175" s="544"/>
      <c r="O175" s="541"/>
      <c r="P175" s="541"/>
      <c r="Q175" s="541"/>
      <c r="R175" s="544"/>
      <c r="S175" s="544"/>
      <c r="T175" s="544"/>
      <c r="U175" s="544"/>
      <c r="V175" s="548"/>
      <c r="W175" s="544"/>
      <c r="X175" s="541"/>
      <c r="Y175" s="541"/>
      <c r="Z175" s="541"/>
    </row>
    <row r="176" ht="21.0" customHeight="1">
      <c r="A176" s="541"/>
      <c r="B176" s="542"/>
      <c r="C176" s="542"/>
      <c r="D176" s="542"/>
      <c r="E176" s="542"/>
      <c r="F176" s="550"/>
      <c r="G176" s="550"/>
      <c r="H176" s="542"/>
      <c r="I176" s="545"/>
      <c r="J176" s="545"/>
      <c r="K176" s="544"/>
      <c r="L176" s="544"/>
      <c r="M176" s="544"/>
      <c r="N176" s="544"/>
      <c r="O176" s="541"/>
      <c r="P176" s="541"/>
      <c r="Q176" s="541"/>
      <c r="R176" s="544"/>
      <c r="S176" s="544"/>
      <c r="T176" s="544"/>
      <c r="U176" s="544"/>
      <c r="V176" s="548"/>
      <c r="W176" s="544"/>
      <c r="X176" s="541"/>
      <c r="Y176" s="541"/>
      <c r="Z176" s="541"/>
    </row>
    <row r="177" ht="21.0" customHeight="1">
      <c r="A177" s="541"/>
      <c r="B177" s="542"/>
      <c r="C177" s="542"/>
      <c r="D177" s="542"/>
      <c r="E177" s="542"/>
      <c r="F177" s="550"/>
      <c r="G177" s="550"/>
      <c r="H177" s="542"/>
      <c r="I177" s="545"/>
      <c r="J177" s="545"/>
      <c r="K177" s="544"/>
      <c r="L177" s="544"/>
      <c r="M177" s="544"/>
      <c r="N177" s="544"/>
      <c r="O177" s="541"/>
      <c r="P177" s="541"/>
      <c r="Q177" s="541"/>
      <c r="R177" s="544"/>
      <c r="S177" s="544"/>
      <c r="T177" s="544"/>
      <c r="U177" s="544"/>
      <c r="V177" s="548"/>
      <c r="W177" s="544"/>
      <c r="X177" s="541"/>
      <c r="Y177" s="541"/>
      <c r="Z177" s="541"/>
    </row>
    <row r="178" ht="21.0" customHeight="1">
      <c r="A178" s="541"/>
      <c r="B178" s="542"/>
      <c r="C178" s="542"/>
      <c r="D178" s="542"/>
      <c r="E178" s="542"/>
      <c r="F178" s="550"/>
      <c r="G178" s="550"/>
      <c r="H178" s="542"/>
      <c r="I178" s="545"/>
      <c r="J178" s="545"/>
      <c r="K178" s="544"/>
      <c r="L178" s="544"/>
      <c r="M178" s="544"/>
      <c r="N178" s="544"/>
      <c r="O178" s="541"/>
      <c r="P178" s="541"/>
      <c r="Q178" s="541"/>
      <c r="R178" s="544"/>
      <c r="S178" s="544"/>
      <c r="T178" s="544"/>
      <c r="U178" s="544"/>
      <c r="V178" s="548"/>
      <c r="W178" s="544"/>
      <c r="X178" s="541"/>
      <c r="Y178" s="541"/>
      <c r="Z178" s="541"/>
    </row>
    <row r="179" ht="21.0" customHeight="1">
      <c r="A179" s="541"/>
      <c r="B179" s="542"/>
      <c r="C179" s="542"/>
      <c r="D179" s="542"/>
      <c r="E179" s="542"/>
      <c r="F179" s="550"/>
      <c r="G179" s="550"/>
      <c r="H179" s="542"/>
      <c r="I179" s="545"/>
      <c r="J179" s="545"/>
      <c r="K179" s="544"/>
      <c r="L179" s="544"/>
      <c r="M179" s="544"/>
      <c r="N179" s="544"/>
      <c r="O179" s="541"/>
      <c r="P179" s="541"/>
      <c r="Q179" s="541"/>
      <c r="R179" s="544"/>
      <c r="S179" s="544"/>
      <c r="T179" s="544"/>
      <c r="U179" s="544"/>
      <c r="V179" s="548"/>
      <c r="W179" s="544"/>
      <c r="X179" s="541"/>
      <c r="Y179" s="541"/>
      <c r="Z179" s="541"/>
    </row>
    <row r="180" ht="21.0" customHeight="1">
      <c r="A180" s="541"/>
      <c r="B180" s="542"/>
      <c r="C180" s="542"/>
      <c r="D180" s="542"/>
      <c r="E180" s="542"/>
      <c r="F180" s="550"/>
      <c r="G180" s="550"/>
      <c r="H180" s="542"/>
      <c r="I180" s="545"/>
      <c r="J180" s="545"/>
      <c r="K180" s="544"/>
      <c r="L180" s="544"/>
      <c r="M180" s="544"/>
      <c r="N180" s="544"/>
      <c r="O180" s="541"/>
      <c r="P180" s="541"/>
      <c r="Q180" s="541"/>
      <c r="R180" s="544"/>
      <c r="S180" s="544"/>
      <c r="T180" s="544"/>
      <c r="U180" s="544"/>
      <c r="V180" s="548"/>
      <c r="W180" s="544"/>
      <c r="X180" s="541"/>
      <c r="Y180" s="541"/>
      <c r="Z180" s="541"/>
    </row>
    <row r="181" ht="21.0" customHeight="1">
      <c r="A181" s="541"/>
      <c r="B181" s="542"/>
      <c r="C181" s="542"/>
      <c r="D181" s="542"/>
      <c r="E181" s="542"/>
      <c r="F181" s="550"/>
      <c r="G181" s="550"/>
      <c r="H181" s="542"/>
      <c r="I181" s="545"/>
      <c r="J181" s="545"/>
      <c r="K181" s="544"/>
      <c r="L181" s="544"/>
      <c r="M181" s="544"/>
      <c r="N181" s="544"/>
      <c r="O181" s="541"/>
      <c r="P181" s="541"/>
      <c r="Q181" s="541"/>
      <c r="R181" s="544"/>
      <c r="S181" s="544"/>
      <c r="T181" s="544"/>
      <c r="U181" s="544"/>
      <c r="V181" s="548"/>
      <c r="W181" s="544"/>
      <c r="X181" s="541"/>
      <c r="Y181" s="541"/>
      <c r="Z181" s="541"/>
    </row>
    <row r="182" ht="21.0" customHeight="1">
      <c r="A182" s="541"/>
      <c r="B182" s="542"/>
      <c r="C182" s="542"/>
      <c r="D182" s="542"/>
      <c r="E182" s="542"/>
      <c r="F182" s="550"/>
      <c r="G182" s="550"/>
      <c r="H182" s="542"/>
      <c r="I182" s="545"/>
      <c r="J182" s="545"/>
      <c r="K182" s="544"/>
      <c r="L182" s="544"/>
      <c r="M182" s="544"/>
      <c r="N182" s="544"/>
      <c r="O182" s="541"/>
      <c r="P182" s="541"/>
      <c r="Q182" s="541"/>
      <c r="R182" s="544"/>
      <c r="S182" s="544"/>
      <c r="T182" s="544"/>
      <c r="U182" s="544"/>
      <c r="V182" s="548"/>
      <c r="W182" s="544"/>
      <c r="X182" s="541"/>
      <c r="Y182" s="541"/>
      <c r="Z182" s="541"/>
    </row>
    <row r="183" ht="21.0" customHeight="1">
      <c r="A183" s="541"/>
      <c r="B183" s="542"/>
      <c r="C183" s="542"/>
      <c r="D183" s="542"/>
      <c r="E183" s="542"/>
      <c r="F183" s="550"/>
      <c r="G183" s="550"/>
      <c r="H183" s="542"/>
      <c r="I183" s="545"/>
      <c r="J183" s="545"/>
      <c r="K183" s="544"/>
      <c r="L183" s="544"/>
      <c r="M183" s="544"/>
      <c r="N183" s="544"/>
      <c r="O183" s="541"/>
      <c r="P183" s="541"/>
      <c r="Q183" s="541"/>
      <c r="R183" s="544"/>
      <c r="S183" s="544"/>
      <c r="T183" s="544"/>
      <c r="U183" s="544"/>
      <c r="V183" s="548"/>
      <c r="W183" s="544"/>
      <c r="X183" s="541"/>
      <c r="Y183" s="541"/>
      <c r="Z183" s="541"/>
    </row>
    <row r="184" ht="21.0" customHeight="1">
      <c r="A184" s="541"/>
      <c r="B184" s="542"/>
      <c r="C184" s="542"/>
      <c r="D184" s="542"/>
      <c r="E184" s="542"/>
      <c r="F184" s="550"/>
      <c r="G184" s="550"/>
      <c r="H184" s="542"/>
      <c r="I184" s="545"/>
      <c r="J184" s="545"/>
      <c r="K184" s="544"/>
      <c r="L184" s="544"/>
      <c r="M184" s="544"/>
      <c r="N184" s="544"/>
      <c r="O184" s="541"/>
      <c r="P184" s="541"/>
      <c r="Q184" s="541"/>
      <c r="R184" s="544"/>
      <c r="S184" s="544"/>
      <c r="T184" s="544"/>
      <c r="U184" s="544"/>
      <c r="V184" s="548"/>
      <c r="W184" s="544"/>
      <c r="X184" s="541"/>
      <c r="Y184" s="541"/>
      <c r="Z184" s="541"/>
    </row>
    <row r="185" ht="21.0" customHeight="1">
      <c r="A185" s="541"/>
      <c r="B185" s="542"/>
      <c r="C185" s="542"/>
      <c r="D185" s="542"/>
      <c r="E185" s="542"/>
      <c r="F185" s="550"/>
      <c r="G185" s="550"/>
      <c r="H185" s="542"/>
      <c r="I185" s="545"/>
      <c r="J185" s="545"/>
      <c r="K185" s="544"/>
      <c r="L185" s="544"/>
      <c r="M185" s="544"/>
      <c r="N185" s="544"/>
      <c r="O185" s="541"/>
      <c r="P185" s="541"/>
      <c r="Q185" s="541"/>
      <c r="R185" s="544"/>
      <c r="S185" s="544"/>
      <c r="T185" s="544"/>
      <c r="U185" s="544"/>
      <c r="V185" s="548"/>
      <c r="W185" s="544"/>
      <c r="X185" s="541"/>
      <c r="Y185" s="541"/>
      <c r="Z185" s="541"/>
    </row>
    <row r="186" ht="21.0" customHeight="1">
      <c r="A186" s="541"/>
      <c r="B186" s="542"/>
      <c r="C186" s="542"/>
      <c r="D186" s="542"/>
      <c r="E186" s="542"/>
      <c r="F186" s="550"/>
      <c r="G186" s="550"/>
      <c r="H186" s="542"/>
      <c r="I186" s="545"/>
      <c r="J186" s="545"/>
      <c r="K186" s="544"/>
      <c r="L186" s="544"/>
      <c r="M186" s="544"/>
      <c r="N186" s="544"/>
      <c r="O186" s="541"/>
      <c r="P186" s="541"/>
      <c r="Q186" s="541"/>
      <c r="R186" s="544"/>
      <c r="S186" s="544"/>
      <c r="T186" s="544"/>
      <c r="U186" s="544"/>
      <c r="V186" s="548"/>
      <c r="W186" s="544"/>
      <c r="X186" s="541"/>
      <c r="Y186" s="541"/>
      <c r="Z186" s="541"/>
    </row>
    <row r="187" ht="21.0" customHeight="1">
      <c r="A187" s="541"/>
      <c r="B187" s="542"/>
      <c r="C187" s="542"/>
      <c r="D187" s="542"/>
      <c r="E187" s="542"/>
      <c r="F187" s="550"/>
      <c r="G187" s="550"/>
      <c r="H187" s="542"/>
      <c r="I187" s="545"/>
      <c r="J187" s="545"/>
      <c r="K187" s="544"/>
      <c r="L187" s="544"/>
      <c r="M187" s="544"/>
      <c r="N187" s="544"/>
      <c r="O187" s="541"/>
      <c r="P187" s="541"/>
      <c r="Q187" s="541"/>
      <c r="R187" s="544"/>
      <c r="S187" s="544"/>
      <c r="T187" s="544"/>
      <c r="U187" s="544"/>
      <c r="V187" s="548"/>
      <c r="W187" s="544"/>
      <c r="X187" s="541"/>
      <c r="Y187" s="541"/>
      <c r="Z187" s="541"/>
    </row>
    <row r="188" ht="21.0" customHeight="1">
      <c r="A188" s="541"/>
      <c r="B188" s="542"/>
      <c r="C188" s="542"/>
      <c r="D188" s="542"/>
      <c r="E188" s="542"/>
      <c r="F188" s="550"/>
      <c r="G188" s="550"/>
      <c r="H188" s="542"/>
      <c r="I188" s="545"/>
      <c r="J188" s="545"/>
      <c r="K188" s="544"/>
      <c r="L188" s="544"/>
      <c r="M188" s="544"/>
      <c r="N188" s="544"/>
      <c r="O188" s="541"/>
      <c r="P188" s="541"/>
      <c r="Q188" s="541"/>
      <c r="R188" s="544"/>
      <c r="S188" s="544"/>
      <c r="T188" s="544"/>
      <c r="U188" s="544"/>
      <c r="V188" s="548"/>
      <c r="W188" s="544"/>
      <c r="X188" s="541"/>
      <c r="Y188" s="541"/>
      <c r="Z188" s="541"/>
    </row>
    <row r="189" ht="21.0" customHeight="1">
      <c r="A189" s="541"/>
      <c r="B189" s="542"/>
      <c r="C189" s="542"/>
      <c r="D189" s="542"/>
      <c r="E189" s="542"/>
      <c r="F189" s="550"/>
      <c r="G189" s="550"/>
      <c r="H189" s="542"/>
      <c r="I189" s="545"/>
      <c r="J189" s="545"/>
      <c r="K189" s="544"/>
      <c r="L189" s="544"/>
      <c r="M189" s="544"/>
      <c r="N189" s="544"/>
      <c r="O189" s="541"/>
      <c r="P189" s="541"/>
      <c r="Q189" s="541"/>
      <c r="R189" s="544"/>
      <c r="S189" s="544"/>
      <c r="T189" s="544"/>
      <c r="U189" s="544"/>
      <c r="V189" s="548"/>
      <c r="W189" s="544"/>
      <c r="X189" s="541"/>
      <c r="Y189" s="541"/>
      <c r="Z189" s="541"/>
    </row>
    <row r="190" ht="21.0" customHeight="1">
      <c r="A190" s="541"/>
      <c r="B190" s="542"/>
      <c r="C190" s="542"/>
      <c r="D190" s="542"/>
      <c r="E190" s="542"/>
      <c r="F190" s="550"/>
      <c r="G190" s="550"/>
      <c r="H190" s="542"/>
      <c r="I190" s="545"/>
      <c r="J190" s="545"/>
      <c r="K190" s="544"/>
      <c r="L190" s="544"/>
      <c r="M190" s="544"/>
      <c r="N190" s="544"/>
      <c r="O190" s="541"/>
      <c r="P190" s="541"/>
      <c r="Q190" s="541"/>
      <c r="R190" s="544"/>
      <c r="S190" s="544"/>
      <c r="T190" s="544"/>
      <c r="U190" s="544"/>
      <c r="V190" s="548"/>
      <c r="W190" s="544"/>
      <c r="X190" s="541"/>
      <c r="Y190" s="541"/>
      <c r="Z190" s="541"/>
    </row>
    <row r="191" ht="21.0" customHeight="1">
      <c r="A191" s="541"/>
      <c r="B191" s="542"/>
      <c r="C191" s="542"/>
      <c r="D191" s="542"/>
      <c r="E191" s="542"/>
      <c r="F191" s="550"/>
      <c r="G191" s="550"/>
      <c r="H191" s="542"/>
      <c r="I191" s="545"/>
      <c r="J191" s="545"/>
      <c r="K191" s="544"/>
      <c r="L191" s="544"/>
      <c r="M191" s="544"/>
      <c r="N191" s="544"/>
      <c r="O191" s="541"/>
      <c r="P191" s="541"/>
      <c r="Q191" s="541"/>
      <c r="R191" s="544"/>
      <c r="S191" s="544"/>
      <c r="T191" s="544"/>
      <c r="U191" s="544"/>
      <c r="V191" s="548"/>
      <c r="W191" s="544"/>
      <c r="X191" s="541"/>
      <c r="Y191" s="541"/>
      <c r="Z191" s="541"/>
    </row>
    <row r="192" ht="21.0" customHeight="1">
      <c r="A192" s="541"/>
      <c r="B192" s="542"/>
      <c r="C192" s="542"/>
      <c r="D192" s="542"/>
      <c r="E192" s="542"/>
      <c r="F192" s="550"/>
      <c r="G192" s="550"/>
      <c r="H192" s="542"/>
      <c r="I192" s="545"/>
      <c r="J192" s="545"/>
      <c r="K192" s="544"/>
      <c r="L192" s="544"/>
      <c r="M192" s="544"/>
      <c r="N192" s="544"/>
      <c r="O192" s="541"/>
      <c r="P192" s="541"/>
      <c r="Q192" s="541"/>
      <c r="R192" s="544"/>
      <c r="S192" s="544"/>
      <c r="T192" s="544"/>
      <c r="U192" s="544"/>
      <c r="V192" s="548"/>
      <c r="W192" s="544"/>
      <c r="X192" s="541"/>
      <c r="Y192" s="541"/>
      <c r="Z192" s="541"/>
    </row>
    <row r="193" ht="21.0" customHeight="1">
      <c r="A193" s="541"/>
      <c r="B193" s="542"/>
      <c r="C193" s="542"/>
      <c r="D193" s="542"/>
      <c r="E193" s="542"/>
      <c r="F193" s="550"/>
      <c r="G193" s="550"/>
      <c r="H193" s="542"/>
      <c r="I193" s="545"/>
      <c r="J193" s="545"/>
      <c r="K193" s="544"/>
      <c r="L193" s="544"/>
      <c r="M193" s="544"/>
      <c r="N193" s="544"/>
      <c r="O193" s="541"/>
      <c r="P193" s="541"/>
      <c r="Q193" s="541"/>
      <c r="R193" s="544"/>
      <c r="S193" s="544"/>
      <c r="T193" s="544"/>
      <c r="U193" s="544"/>
      <c r="V193" s="548"/>
      <c r="W193" s="544"/>
      <c r="X193" s="541"/>
      <c r="Y193" s="541"/>
      <c r="Z193" s="541"/>
    </row>
    <row r="194" ht="21.0" customHeight="1">
      <c r="A194" s="541"/>
      <c r="B194" s="542"/>
      <c r="C194" s="542"/>
      <c r="D194" s="542"/>
      <c r="E194" s="542"/>
      <c r="F194" s="550"/>
      <c r="G194" s="550"/>
      <c r="H194" s="542"/>
      <c r="I194" s="545"/>
      <c r="J194" s="545"/>
      <c r="K194" s="544"/>
      <c r="L194" s="544"/>
      <c r="M194" s="544"/>
      <c r="N194" s="544"/>
      <c r="O194" s="541"/>
      <c r="P194" s="541"/>
      <c r="Q194" s="541"/>
      <c r="R194" s="544"/>
      <c r="S194" s="544"/>
      <c r="T194" s="544"/>
      <c r="U194" s="544"/>
      <c r="V194" s="548"/>
      <c r="W194" s="544"/>
      <c r="X194" s="541"/>
      <c r="Y194" s="541"/>
      <c r="Z194" s="541"/>
    </row>
    <row r="195" ht="21.0" customHeight="1">
      <c r="A195" s="541"/>
      <c r="B195" s="542"/>
      <c r="C195" s="542"/>
      <c r="D195" s="542"/>
      <c r="E195" s="542"/>
      <c r="F195" s="550"/>
      <c r="G195" s="550"/>
      <c r="H195" s="542"/>
      <c r="I195" s="545"/>
      <c r="J195" s="545"/>
      <c r="K195" s="544"/>
      <c r="L195" s="544"/>
      <c r="M195" s="544"/>
      <c r="N195" s="544"/>
      <c r="O195" s="541"/>
      <c r="P195" s="541"/>
      <c r="Q195" s="541"/>
      <c r="R195" s="544"/>
      <c r="S195" s="544"/>
      <c r="T195" s="544"/>
      <c r="U195" s="544"/>
      <c r="V195" s="548"/>
      <c r="W195" s="544"/>
      <c r="X195" s="541"/>
      <c r="Y195" s="541"/>
      <c r="Z195" s="541"/>
    </row>
    <row r="196" ht="21.0" customHeight="1">
      <c r="A196" s="541"/>
      <c r="B196" s="542"/>
      <c r="C196" s="542"/>
      <c r="D196" s="542"/>
      <c r="E196" s="542"/>
      <c r="F196" s="550"/>
      <c r="G196" s="550"/>
      <c r="H196" s="542"/>
      <c r="I196" s="545"/>
      <c r="J196" s="545"/>
      <c r="K196" s="544"/>
      <c r="L196" s="544"/>
      <c r="M196" s="544"/>
      <c r="N196" s="544"/>
      <c r="O196" s="541"/>
      <c r="P196" s="541"/>
      <c r="Q196" s="541"/>
      <c r="R196" s="544"/>
      <c r="S196" s="544"/>
      <c r="T196" s="544"/>
      <c r="U196" s="544"/>
      <c r="V196" s="548"/>
      <c r="W196" s="544"/>
      <c r="X196" s="541"/>
      <c r="Y196" s="541"/>
      <c r="Z196" s="541"/>
    </row>
    <row r="197" ht="21.0" customHeight="1">
      <c r="A197" s="541"/>
      <c r="B197" s="542"/>
      <c r="C197" s="542"/>
      <c r="D197" s="542"/>
      <c r="E197" s="542"/>
      <c r="F197" s="550"/>
      <c r="G197" s="550"/>
      <c r="H197" s="542"/>
      <c r="I197" s="545"/>
      <c r="J197" s="545"/>
      <c r="K197" s="544"/>
      <c r="L197" s="544"/>
      <c r="M197" s="544"/>
      <c r="N197" s="544"/>
      <c r="O197" s="541"/>
      <c r="P197" s="541"/>
      <c r="Q197" s="541"/>
      <c r="R197" s="544"/>
      <c r="S197" s="544"/>
      <c r="T197" s="544"/>
      <c r="U197" s="544"/>
      <c r="V197" s="548"/>
      <c r="W197" s="544"/>
      <c r="X197" s="541"/>
      <c r="Y197" s="541"/>
      <c r="Z197" s="541"/>
    </row>
    <row r="198" ht="21.0" customHeight="1">
      <c r="A198" s="541"/>
      <c r="B198" s="542"/>
      <c r="C198" s="542"/>
      <c r="D198" s="542"/>
      <c r="E198" s="542"/>
      <c r="F198" s="550"/>
      <c r="G198" s="550"/>
      <c r="H198" s="542"/>
      <c r="I198" s="545"/>
      <c r="J198" s="545"/>
      <c r="K198" s="544"/>
      <c r="L198" s="544"/>
      <c r="M198" s="544"/>
      <c r="N198" s="544"/>
      <c r="O198" s="541"/>
      <c r="P198" s="541"/>
      <c r="Q198" s="541"/>
      <c r="R198" s="544"/>
      <c r="S198" s="544"/>
      <c r="T198" s="544"/>
      <c r="U198" s="544"/>
      <c r="V198" s="548"/>
      <c r="W198" s="544"/>
      <c r="X198" s="541"/>
      <c r="Y198" s="541"/>
      <c r="Z198" s="541"/>
    </row>
    <row r="199" ht="21.0" customHeight="1">
      <c r="A199" s="541"/>
      <c r="B199" s="542"/>
      <c r="C199" s="542"/>
      <c r="D199" s="542"/>
      <c r="E199" s="542"/>
      <c r="F199" s="550"/>
      <c r="G199" s="550"/>
      <c r="H199" s="542"/>
      <c r="I199" s="545"/>
      <c r="J199" s="545"/>
      <c r="K199" s="544"/>
      <c r="L199" s="544"/>
      <c r="M199" s="544"/>
      <c r="N199" s="544"/>
      <c r="O199" s="541"/>
      <c r="P199" s="541"/>
      <c r="Q199" s="541"/>
      <c r="R199" s="544"/>
      <c r="S199" s="544"/>
      <c r="T199" s="544"/>
      <c r="U199" s="544"/>
      <c r="V199" s="548"/>
      <c r="W199" s="544"/>
      <c r="X199" s="541"/>
      <c r="Y199" s="541"/>
      <c r="Z199" s="541"/>
    </row>
    <row r="200" ht="21.0" customHeight="1">
      <c r="A200" s="541"/>
      <c r="B200" s="542"/>
      <c r="C200" s="542"/>
      <c r="D200" s="542"/>
      <c r="E200" s="542"/>
      <c r="F200" s="550"/>
      <c r="G200" s="550"/>
      <c r="H200" s="542"/>
      <c r="I200" s="545"/>
      <c r="J200" s="545"/>
      <c r="K200" s="544"/>
      <c r="L200" s="544"/>
      <c r="M200" s="544"/>
      <c r="N200" s="544"/>
      <c r="O200" s="541"/>
      <c r="P200" s="541"/>
      <c r="Q200" s="541"/>
      <c r="R200" s="544"/>
      <c r="S200" s="544"/>
      <c r="T200" s="544"/>
      <c r="U200" s="544"/>
      <c r="V200" s="548"/>
      <c r="W200" s="544"/>
      <c r="X200" s="541"/>
      <c r="Y200" s="541"/>
      <c r="Z200" s="541"/>
    </row>
    <row r="201" ht="21.0" customHeight="1">
      <c r="A201" s="541"/>
      <c r="B201" s="542"/>
      <c r="C201" s="542"/>
      <c r="D201" s="542"/>
      <c r="E201" s="542"/>
      <c r="F201" s="550"/>
      <c r="G201" s="550"/>
      <c r="H201" s="542"/>
      <c r="I201" s="545"/>
      <c r="J201" s="545"/>
      <c r="K201" s="544"/>
      <c r="L201" s="544"/>
      <c r="M201" s="544"/>
      <c r="N201" s="544"/>
      <c r="O201" s="541"/>
      <c r="P201" s="541"/>
      <c r="Q201" s="541"/>
      <c r="R201" s="544"/>
      <c r="S201" s="544"/>
      <c r="T201" s="544"/>
      <c r="U201" s="544"/>
      <c r="V201" s="548"/>
      <c r="W201" s="544"/>
      <c r="X201" s="541"/>
      <c r="Y201" s="541"/>
      <c r="Z201" s="541"/>
    </row>
    <row r="202" ht="21.0" customHeight="1">
      <c r="A202" s="541"/>
      <c r="B202" s="542"/>
      <c r="C202" s="542"/>
      <c r="D202" s="542"/>
      <c r="E202" s="542"/>
      <c r="F202" s="550"/>
      <c r="G202" s="550"/>
      <c r="H202" s="542"/>
      <c r="I202" s="545"/>
      <c r="J202" s="545"/>
      <c r="K202" s="544"/>
      <c r="L202" s="544"/>
      <c r="M202" s="544"/>
      <c r="N202" s="544"/>
      <c r="O202" s="541"/>
      <c r="P202" s="541"/>
      <c r="Q202" s="541"/>
      <c r="R202" s="544"/>
      <c r="S202" s="544"/>
      <c r="T202" s="544"/>
      <c r="U202" s="544"/>
      <c r="V202" s="548"/>
      <c r="W202" s="544"/>
      <c r="X202" s="541"/>
      <c r="Y202" s="541"/>
      <c r="Z202" s="541"/>
    </row>
    <row r="203" ht="21.0" customHeight="1">
      <c r="A203" s="541"/>
      <c r="B203" s="542"/>
      <c r="C203" s="542"/>
      <c r="D203" s="542"/>
      <c r="E203" s="542"/>
      <c r="F203" s="550"/>
      <c r="G203" s="550"/>
      <c r="H203" s="542"/>
      <c r="I203" s="545"/>
      <c r="J203" s="545"/>
      <c r="K203" s="544"/>
      <c r="L203" s="544"/>
      <c r="M203" s="544"/>
      <c r="N203" s="544"/>
      <c r="O203" s="541"/>
      <c r="P203" s="541"/>
      <c r="Q203" s="541"/>
      <c r="R203" s="544"/>
      <c r="S203" s="544"/>
      <c r="T203" s="544"/>
      <c r="U203" s="544"/>
      <c r="V203" s="548"/>
      <c r="W203" s="544"/>
      <c r="X203" s="541"/>
      <c r="Y203" s="541"/>
      <c r="Z203" s="541"/>
    </row>
    <row r="204" ht="21.0" customHeight="1">
      <c r="A204" s="541"/>
      <c r="B204" s="542"/>
      <c r="C204" s="542"/>
      <c r="D204" s="542"/>
      <c r="E204" s="542"/>
      <c r="F204" s="550"/>
      <c r="G204" s="550"/>
      <c r="H204" s="542"/>
      <c r="I204" s="545"/>
      <c r="J204" s="545"/>
      <c r="K204" s="544"/>
      <c r="L204" s="544"/>
      <c r="M204" s="544"/>
      <c r="N204" s="544"/>
      <c r="O204" s="541"/>
      <c r="P204" s="541"/>
      <c r="Q204" s="541"/>
      <c r="R204" s="544"/>
      <c r="S204" s="544"/>
      <c r="T204" s="544"/>
      <c r="U204" s="544"/>
      <c r="V204" s="548"/>
      <c r="W204" s="544"/>
      <c r="X204" s="541"/>
      <c r="Y204" s="541"/>
      <c r="Z204" s="541"/>
    </row>
    <row r="205" ht="21.0" customHeight="1">
      <c r="A205" s="541"/>
      <c r="B205" s="542"/>
      <c r="C205" s="542"/>
      <c r="D205" s="542"/>
      <c r="E205" s="542"/>
      <c r="F205" s="550"/>
      <c r="G205" s="550"/>
      <c r="H205" s="542"/>
      <c r="I205" s="545"/>
      <c r="J205" s="545"/>
      <c r="K205" s="544"/>
      <c r="L205" s="544"/>
      <c r="M205" s="544"/>
      <c r="N205" s="544"/>
      <c r="O205" s="541"/>
      <c r="P205" s="541"/>
      <c r="Q205" s="541"/>
      <c r="R205" s="544"/>
      <c r="S205" s="544"/>
      <c r="T205" s="544"/>
      <c r="U205" s="544"/>
      <c r="V205" s="548"/>
      <c r="W205" s="544"/>
      <c r="X205" s="541"/>
      <c r="Y205" s="541"/>
      <c r="Z205" s="541"/>
    </row>
    <row r="206" ht="21.0" customHeight="1">
      <c r="A206" s="541"/>
      <c r="B206" s="542"/>
      <c r="C206" s="542"/>
      <c r="D206" s="542"/>
      <c r="E206" s="542"/>
      <c r="F206" s="550"/>
      <c r="G206" s="550"/>
      <c r="H206" s="542"/>
      <c r="I206" s="545"/>
      <c r="J206" s="545"/>
      <c r="K206" s="544"/>
      <c r="L206" s="544"/>
      <c r="M206" s="544"/>
      <c r="N206" s="544"/>
      <c r="O206" s="541"/>
      <c r="P206" s="541"/>
      <c r="Q206" s="541"/>
      <c r="R206" s="544"/>
      <c r="S206" s="544"/>
      <c r="T206" s="544"/>
      <c r="U206" s="544"/>
      <c r="V206" s="548"/>
      <c r="W206" s="544"/>
      <c r="X206" s="541"/>
      <c r="Y206" s="541"/>
      <c r="Z206" s="541"/>
    </row>
    <row r="207" ht="21.0" customHeight="1">
      <c r="A207" s="541"/>
      <c r="B207" s="542"/>
      <c r="C207" s="542"/>
      <c r="D207" s="542"/>
      <c r="E207" s="542"/>
      <c r="F207" s="550"/>
      <c r="G207" s="550"/>
      <c r="H207" s="542"/>
      <c r="I207" s="545"/>
      <c r="J207" s="545"/>
      <c r="K207" s="544"/>
      <c r="L207" s="544"/>
      <c r="M207" s="544"/>
      <c r="N207" s="544"/>
      <c r="O207" s="541"/>
      <c r="P207" s="541"/>
      <c r="Q207" s="541"/>
      <c r="R207" s="544"/>
      <c r="S207" s="544"/>
      <c r="T207" s="544"/>
      <c r="U207" s="544"/>
      <c r="V207" s="548"/>
      <c r="W207" s="544"/>
      <c r="X207" s="541"/>
      <c r="Y207" s="541"/>
      <c r="Z207" s="541"/>
    </row>
    <row r="208" ht="21.0" customHeight="1">
      <c r="A208" s="541"/>
      <c r="B208" s="542"/>
      <c r="C208" s="542"/>
      <c r="D208" s="542"/>
      <c r="E208" s="542"/>
      <c r="F208" s="550"/>
      <c r="G208" s="550"/>
      <c r="H208" s="542"/>
      <c r="I208" s="545"/>
      <c r="J208" s="545"/>
      <c r="K208" s="544"/>
      <c r="L208" s="544"/>
      <c r="M208" s="544"/>
      <c r="N208" s="544"/>
      <c r="O208" s="541"/>
      <c r="P208" s="541"/>
      <c r="Q208" s="541"/>
      <c r="R208" s="544"/>
      <c r="S208" s="544"/>
      <c r="T208" s="544"/>
      <c r="U208" s="544"/>
      <c r="V208" s="548"/>
      <c r="W208" s="544"/>
      <c r="X208" s="541"/>
      <c r="Y208" s="541"/>
      <c r="Z208" s="541"/>
    </row>
    <row r="209" ht="21.0" customHeight="1">
      <c r="A209" s="541"/>
      <c r="B209" s="542"/>
      <c r="C209" s="542"/>
      <c r="D209" s="542"/>
      <c r="E209" s="542"/>
      <c r="F209" s="550"/>
      <c r="G209" s="550"/>
      <c r="H209" s="542"/>
      <c r="I209" s="545"/>
      <c r="J209" s="545"/>
      <c r="K209" s="544"/>
      <c r="L209" s="544"/>
      <c r="M209" s="544"/>
      <c r="N209" s="544"/>
      <c r="O209" s="541"/>
      <c r="P209" s="541"/>
      <c r="Q209" s="541"/>
      <c r="R209" s="544"/>
      <c r="S209" s="544"/>
      <c r="T209" s="544"/>
      <c r="U209" s="544"/>
      <c r="V209" s="548"/>
      <c r="W209" s="544"/>
      <c r="X209" s="541"/>
      <c r="Y209" s="541"/>
      <c r="Z209" s="541"/>
    </row>
    <row r="210" ht="21.0" customHeight="1">
      <c r="A210" s="541"/>
      <c r="B210" s="542"/>
      <c r="C210" s="542"/>
      <c r="D210" s="542"/>
      <c r="E210" s="542"/>
      <c r="F210" s="550"/>
      <c r="G210" s="550"/>
      <c r="H210" s="542"/>
      <c r="I210" s="545"/>
      <c r="J210" s="545"/>
      <c r="K210" s="544"/>
      <c r="L210" s="544"/>
      <c r="M210" s="544"/>
      <c r="N210" s="544"/>
      <c r="O210" s="541"/>
      <c r="P210" s="541"/>
      <c r="Q210" s="541"/>
      <c r="R210" s="544"/>
      <c r="S210" s="544"/>
      <c r="T210" s="544"/>
      <c r="U210" s="544"/>
      <c r="V210" s="548"/>
      <c r="W210" s="544"/>
      <c r="X210" s="541"/>
      <c r="Y210" s="541"/>
      <c r="Z210" s="541"/>
    </row>
    <row r="211" ht="21.0" customHeight="1">
      <c r="A211" s="541"/>
      <c r="B211" s="542"/>
      <c r="C211" s="542"/>
      <c r="D211" s="542"/>
      <c r="E211" s="542"/>
      <c r="F211" s="550"/>
      <c r="G211" s="550"/>
      <c r="H211" s="542"/>
      <c r="I211" s="545"/>
      <c r="J211" s="545"/>
      <c r="K211" s="544"/>
      <c r="L211" s="544"/>
      <c r="M211" s="544"/>
      <c r="N211" s="544"/>
      <c r="O211" s="541"/>
      <c r="P211" s="541"/>
      <c r="Q211" s="541"/>
      <c r="R211" s="544"/>
      <c r="S211" s="544"/>
      <c r="T211" s="544"/>
      <c r="U211" s="544"/>
      <c r="V211" s="548"/>
      <c r="W211" s="544"/>
      <c r="X211" s="541"/>
      <c r="Y211" s="541"/>
      <c r="Z211" s="541"/>
    </row>
    <row r="212" ht="21.0" customHeight="1">
      <c r="A212" s="541"/>
      <c r="B212" s="542"/>
      <c r="C212" s="542"/>
      <c r="D212" s="542"/>
      <c r="E212" s="542"/>
      <c r="F212" s="550"/>
      <c r="G212" s="550"/>
      <c r="H212" s="542"/>
      <c r="I212" s="545"/>
      <c r="J212" s="545"/>
      <c r="K212" s="544"/>
      <c r="L212" s="544"/>
      <c r="M212" s="544"/>
      <c r="N212" s="544"/>
      <c r="O212" s="541"/>
      <c r="P212" s="541"/>
      <c r="Q212" s="541"/>
      <c r="R212" s="544"/>
      <c r="S212" s="544"/>
      <c r="T212" s="544"/>
      <c r="U212" s="544"/>
      <c r="V212" s="548"/>
      <c r="W212" s="544"/>
      <c r="X212" s="541"/>
      <c r="Y212" s="541"/>
      <c r="Z212" s="541"/>
    </row>
    <row r="213" ht="21.0" customHeight="1">
      <c r="A213" s="541"/>
      <c r="B213" s="542"/>
      <c r="C213" s="542"/>
      <c r="D213" s="542"/>
      <c r="E213" s="542"/>
      <c r="F213" s="550"/>
      <c r="G213" s="550"/>
      <c r="H213" s="542"/>
      <c r="I213" s="545"/>
      <c r="J213" s="545"/>
      <c r="K213" s="544"/>
      <c r="L213" s="544"/>
      <c r="M213" s="544"/>
      <c r="N213" s="544"/>
      <c r="O213" s="541"/>
      <c r="P213" s="541"/>
      <c r="Q213" s="541"/>
      <c r="R213" s="544"/>
      <c r="S213" s="544"/>
      <c r="T213" s="544"/>
      <c r="U213" s="544"/>
      <c r="V213" s="548"/>
      <c r="W213" s="544"/>
      <c r="X213" s="541"/>
      <c r="Y213" s="541"/>
      <c r="Z213" s="541"/>
    </row>
    <row r="214" ht="21.0" customHeight="1">
      <c r="A214" s="541"/>
      <c r="B214" s="542"/>
      <c r="C214" s="542"/>
      <c r="D214" s="542"/>
      <c r="E214" s="542"/>
      <c r="F214" s="550"/>
      <c r="G214" s="550"/>
      <c r="H214" s="542"/>
      <c r="I214" s="545"/>
      <c r="J214" s="545"/>
      <c r="K214" s="544"/>
      <c r="L214" s="544"/>
      <c r="M214" s="544"/>
      <c r="N214" s="544"/>
      <c r="O214" s="541"/>
      <c r="P214" s="541"/>
      <c r="Q214" s="541"/>
      <c r="R214" s="544"/>
      <c r="S214" s="544"/>
      <c r="T214" s="544"/>
      <c r="U214" s="544"/>
      <c r="V214" s="548"/>
      <c r="W214" s="544"/>
      <c r="X214" s="541"/>
      <c r="Y214" s="541"/>
      <c r="Z214" s="541"/>
    </row>
    <row r="215" ht="21.0" customHeight="1">
      <c r="A215" s="541"/>
      <c r="B215" s="542"/>
      <c r="C215" s="542"/>
      <c r="D215" s="542"/>
      <c r="E215" s="542"/>
      <c r="F215" s="550"/>
      <c r="G215" s="550"/>
      <c r="H215" s="542"/>
      <c r="I215" s="545"/>
      <c r="J215" s="545"/>
      <c r="K215" s="544"/>
      <c r="L215" s="544"/>
      <c r="M215" s="544"/>
      <c r="N215" s="544"/>
      <c r="O215" s="541"/>
      <c r="P215" s="541"/>
      <c r="Q215" s="541"/>
      <c r="R215" s="544"/>
      <c r="S215" s="544"/>
      <c r="T215" s="544"/>
      <c r="U215" s="544"/>
      <c r="V215" s="548"/>
      <c r="W215" s="544"/>
      <c r="X215" s="541"/>
      <c r="Y215" s="541"/>
      <c r="Z215" s="541"/>
    </row>
    <row r="216" ht="21.0" customHeight="1">
      <c r="A216" s="541"/>
      <c r="B216" s="542"/>
      <c r="C216" s="542"/>
      <c r="D216" s="542"/>
      <c r="E216" s="542"/>
      <c r="F216" s="550"/>
      <c r="G216" s="550"/>
      <c r="H216" s="542"/>
      <c r="I216" s="545"/>
      <c r="J216" s="545"/>
      <c r="K216" s="544"/>
      <c r="L216" s="544"/>
      <c r="M216" s="544"/>
      <c r="N216" s="544"/>
      <c r="O216" s="541"/>
      <c r="P216" s="541"/>
      <c r="Q216" s="541"/>
      <c r="R216" s="544"/>
      <c r="S216" s="544"/>
      <c r="T216" s="544"/>
      <c r="U216" s="544"/>
      <c r="V216" s="548"/>
      <c r="W216" s="544"/>
      <c r="X216" s="541"/>
      <c r="Y216" s="541"/>
      <c r="Z216" s="541"/>
    </row>
    <row r="217" ht="21.0" customHeight="1">
      <c r="A217" s="541"/>
      <c r="B217" s="542"/>
      <c r="C217" s="542"/>
      <c r="D217" s="542"/>
      <c r="E217" s="542"/>
      <c r="F217" s="550"/>
      <c r="G217" s="550"/>
      <c r="H217" s="542"/>
      <c r="I217" s="545"/>
      <c r="J217" s="545"/>
      <c r="K217" s="544"/>
      <c r="L217" s="544"/>
      <c r="M217" s="544"/>
      <c r="N217" s="544"/>
      <c r="O217" s="541"/>
      <c r="P217" s="541"/>
      <c r="Q217" s="541"/>
      <c r="R217" s="544"/>
      <c r="S217" s="544"/>
      <c r="T217" s="544"/>
      <c r="U217" s="544"/>
      <c r="V217" s="548"/>
      <c r="W217" s="544"/>
      <c r="X217" s="541"/>
      <c r="Y217" s="541"/>
      <c r="Z217" s="541"/>
    </row>
    <row r="218" ht="21.0" customHeight="1">
      <c r="A218" s="541"/>
      <c r="B218" s="542"/>
      <c r="C218" s="542"/>
      <c r="D218" s="542"/>
      <c r="E218" s="542"/>
      <c r="F218" s="550"/>
      <c r="G218" s="550"/>
      <c r="H218" s="542"/>
      <c r="I218" s="545"/>
      <c r="J218" s="545"/>
      <c r="K218" s="544"/>
      <c r="L218" s="544"/>
      <c r="M218" s="544"/>
      <c r="N218" s="544"/>
      <c r="O218" s="541"/>
      <c r="P218" s="541"/>
      <c r="Q218" s="541"/>
      <c r="R218" s="544"/>
      <c r="S218" s="544"/>
      <c r="T218" s="544"/>
      <c r="U218" s="544"/>
      <c r="V218" s="548"/>
      <c r="W218" s="544"/>
      <c r="X218" s="541"/>
      <c r="Y218" s="541"/>
      <c r="Z218" s="541"/>
    </row>
    <row r="219" ht="21.0" customHeight="1">
      <c r="A219" s="541"/>
      <c r="B219" s="542"/>
      <c r="C219" s="542"/>
      <c r="D219" s="542"/>
      <c r="E219" s="542"/>
      <c r="F219" s="550"/>
      <c r="G219" s="550"/>
      <c r="H219" s="542"/>
      <c r="I219" s="545"/>
      <c r="J219" s="545"/>
      <c r="K219" s="544"/>
      <c r="L219" s="544"/>
      <c r="M219" s="544"/>
      <c r="N219" s="544"/>
      <c r="O219" s="541"/>
      <c r="P219" s="541"/>
      <c r="Q219" s="541"/>
      <c r="R219" s="544"/>
      <c r="S219" s="544"/>
      <c r="T219" s="544"/>
      <c r="U219" s="544"/>
      <c r="V219" s="548"/>
      <c r="W219" s="544"/>
      <c r="X219" s="541"/>
      <c r="Y219" s="541"/>
      <c r="Z219" s="541"/>
    </row>
    <row r="220" ht="21.0" customHeight="1">
      <c r="A220" s="541"/>
      <c r="B220" s="542"/>
      <c r="C220" s="542"/>
      <c r="D220" s="542"/>
      <c r="E220" s="542"/>
      <c r="F220" s="550"/>
      <c r="G220" s="550"/>
      <c r="H220" s="542"/>
      <c r="I220" s="545"/>
      <c r="J220" s="545"/>
      <c r="K220" s="544"/>
      <c r="L220" s="544"/>
      <c r="M220" s="544"/>
      <c r="N220" s="544"/>
      <c r="O220" s="541"/>
      <c r="P220" s="541"/>
      <c r="Q220" s="541"/>
      <c r="R220" s="544"/>
      <c r="S220" s="544"/>
      <c r="T220" s="544"/>
      <c r="U220" s="544"/>
      <c r="V220" s="548"/>
      <c r="W220" s="544"/>
      <c r="X220" s="541"/>
      <c r="Y220" s="541"/>
      <c r="Z220" s="541"/>
    </row>
    <row r="221" ht="21.0" customHeight="1">
      <c r="A221" s="541"/>
      <c r="B221" s="542"/>
      <c r="C221" s="542"/>
      <c r="D221" s="542"/>
      <c r="E221" s="542"/>
      <c r="F221" s="550"/>
      <c r="G221" s="550"/>
      <c r="H221" s="542"/>
      <c r="I221" s="545"/>
      <c r="J221" s="545"/>
      <c r="K221" s="544"/>
      <c r="L221" s="544"/>
      <c r="M221" s="544"/>
      <c r="N221" s="544"/>
      <c r="O221" s="541"/>
      <c r="P221" s="541"/>
      <c r="Q221" s="541"/>
      <c r="R221" s="544"/>
      <c r="S221" s="544"/>
      <c r="T221" s="544"/>
      <c r="U221" s="544"/>
      <c r="V221" s="548"/>
      <c r="W221" s="544"/>
      <c r="X221" s="541"/>
      <c r="Y221" s="541"/>
      <c r="Z221" s="541"/>
    </row>
    <row r="222" ht="21.0" customHeight="1">
      <c r="A222" s="541"/>
      <c r="B222" s="542"/>
      <c r="C222" s="542"/>
      <c r="D222" s="542"/>
      <c r="E222" s="542"/>
      <c r="F222" s="550"/>
      <c r="G222" s="550"/>
      <c r="H222" s="542"/>
      <c r="I222" s="545"/>
      <c r="J222" s="545"/>
      <c r="K222" s="544"/>
      <c r="L222" s="544"/>
      <c r="M222" s="544"/>
      <c r="N222" s="544"/>
      <c r="O222" s="541"/>
      <c r="P222" s="541"/>
      <c r="Q222" s="541"/>
      <c r="R222" s="544"/>
      <c r="S222" s="544"/>
      <c r="T222" s="544"/>
      <c r="U222" s="544"/>
      <c r="V222" s="548"/>
      <c r="W222" s="544"/>
      <c r="X222" s="541"/>
      <c r="Y222" s="541"/>
      <c r="Z222" s="541"/>
    </row>
    <row r="223" ht="21.0" customHeight="1">
      <c r="A223" s="541"/>
      <c r="B223" s="542"/>
      <c r="C223" s="542"/>
      <c r="D223" s="542"/>
      <c r="E223" s="542"/>
      <c r="F223" s="550"/>
      <c r="G223" s="550"/>
      <c r="H223" s="542"/>
      <c r="I223" s="545"/>
      <c r="J223" s="545"/>
      <c r="K223" s="544"/>
      <c r="L223" s="544"/>
      <c r="M223" s="544"/>
      <c r="N223" s="544"/>
      <c r="O223" s="541"/>
      <c r="P223" s="541"/>
      <c r="Q223" s="541"/>
      <c r="R223" s="544"/>
      <c r="S223" s="544"/>
      <c r="T223" s="544"/>
      <c r="U223" s="544"/>
      <c r="V223" s="548"/>
      <c r="W223" s="544"/>
      <c r="X223" s="541"/>
      <c r="Y223" s="541"/>
      <c r="Z223" s="541"/>
    </row>
    <row r="224" ht="21.0" customHeight="1">
      <c r="A224" s="541"/>
      <c r="B224" s="542"/>
      <c r="C224" s="542"/>
      <c r="D224" s="542"/>
      <c r="E224" s="542"/>
      <c r="F224" s="550"/>
      <c r="G224" s="550"/>
      <c r="H224" s="542"/>
      <c r="I224" s="545"/>
      <c r="J224" s="545"/>
      <c r="K224" s="544"/>
      <c r="L224" s="544"/>
      <c r="M224" s="544"/>
      <c r="N224" s="544"/>
      <c r="O224" s="541"/>
      <c r="P224" s="541"/>
      <c r="Q224" s="541"/>
      <c r="R224" s="544"/>
      <c r="S224" s="544"/>
      <c r="T224" s="544"/>
      <c r="U224" s="544"/>
      <c r="V224" s="548"/>
      <c r="W224" s="544"/>
      <c r="X224" s="541"/>
      <c r="Y224" s="541"/>
      <c r="Z224" s="541"/>
    </row>
    <row r="225" ht="21.0" customHeight="1">
      <c r="A225" s="541"/>
      <c r="B225" s="542"/>
      <c r="C225" s="542"/>
      <c r="D225" s="542"/>
      <c r="E225" s="542"/>
      <c r="F225" s="550"/>
      <c r="G225" s="550"/>
      <c r="H225" s="542"/>
      <c r="I225" s="545"/>
      <c r="J225" s="545"/>
      <c r="K225" s="544"/>
      <c r="L225" s="544"/>
      <c r="M225" s="544"/>
      <c r="N225" s="544"/>
      <c r="O225" s="541"/>
      <c r="P225" s="541"/>
      <c r="Q225" s="541"/>
      <c r="R225" s="544"/>
      <c r="S225" s="544"/>
      <c r="T225" s="544"/>
      <c r="U225" s="544"/>
      <c r="V225" s="548"/>
      <c r="W225" s="544"/>
      <c r="X225" s="541"/>
      <c r="Y225" s="541"/>
      <c r="Z225" s="541"/>
    </row>
    <row r="226" ht="21.0" customHeight="1">
      <c r="A226" s="541"/>
      <c r="B226" s="542"/>
      <c r="C226" s="542"/>
      <c r="D226" s="542"/>
      <c r="E226" s="542"/>
      <c r="F226" s="550"/>
      <c r="G226" s="550"/>
      <c r="H226" s="542"/>
      <c r="I226" s="545"/>
      <c r="J226" s="545"/>
      <c r="K226" s="544"/>
      <c r="L226" s="544"/>
      <c r="M226" s="544"/>
      <c r="N226" s="544"/>
      <c r="O226" s="541"/>
      <c r="P226" s="541"/>
      <c r="Q226" s="541"/>
      <c r="R226" s="544"/>
      <c r="S226" s="544"/>
      <c r="T226" s="544"/>
      <c r="U226" s="544"/>
      <c r="V226" s="548"/>
      <c r="W226" s="544"/>
      <c r="X226" s="541"/>
      <c r="Y226" s="541"/>
      <c r="Z226" s="541"/>
    </row>
    <row r="227" ht="21.0" customHeight="1">
      <c r="A227" s="541"/>
      <c r="B227" s="542"/>
      <c r="C227" s="542"/>
      <c r="D227" s="542"/>
      <c r="E227" s="542"/>
      <c r="F227" s="550"/>
      <c r="G227" s="550"/>
      <c r="H227" s="542"/>
      <c r="I227" s="545"/>
      <c r="J227" s="545"/>
      <c r="K227" s="544"/>
      <c r="L227" s="544"/>
      <c r="M227" s="544"/>
      <c r="N227" s="544"/>
      <c r="O227" s="541"/>
      <c r="P227" s="541"/>
      <c r="Q227" s="541"/>
      <c r="R227" s="544"/>
      <c r="S227" s="544"/>
      <c r="T227" s="544"/>
      <c r="U227" s="544"/>
      <c r="V227" s="548"/>
      <c r="W227" s="544"/>
      <c r="X227" s="541"/>
      <c r="Y227" s="541"/>
      <c r="Z227" s="541"/>
    </row>
    <row r="228" ht="21.0" customHeight="1">
      <c r="A228" s="541"/>
      <c r="B228" s="542"/>
      <c r="C228" s="542"/>
      <c r="D228" s="542"/>
      <c r="E228" s="542"/>
      <c r="F228" s="550"/>
      <c r="G228" s="550"/>
      <c r="H228" s="542"/>
      <c r="I228" s="545"/>
      <c r="J228" s="545"/>
      <c r="K228" s="544"/>
      <c r="L228" s="544"/>
      <c r="M228" s="544"/>
      <c r="N228" s="544"/>
      <c r="O228" s="541"/>
      <c r="P228" s="541"/>
      <c r="Q228" s="541"/>
      <c r="R228" s="544"/>
      <c r="S228" s="544"/>
      <c r="T228" s="544"/>
      <c r="U228" s="544"/>
      <c r="V228" s="548"/>
      <c r="W228" s="544"/>
      <c r="X228" s="541"/>
      <c r="Y228" s="541"/>
      <c r="Z228" s="541"/>
    </row>
    <row r="229" ht="21.0" customHeight="1">
      <c r="A229" s="541"/>
      <c r="B229" s="542"/>
      <c r="C229" s="542"/>
      <c r="D229" s="542"/>
      <c r="E229" s="542"/>
      <c r="F229" s="550"/>
      <c r="G229" s="550"/>
      <c r="H229" s="542"/>
      <c r="I229" s="545"/>
      <c r="J229" s="545"/>
      <c r="K229" s="544"/>
      <c r="L229" s="544"/>
      <c r="M229" s="544"/>
      <c r="N229" s="544"/>
      <c r="O229" s="541"/>
      <c r="P229" s="541"/>
      <c r="Q229" s="541"/>
      <c r="R229" s="544"/>
      <c r="S229" s="544"/>
      <c r="T229" s="544"/>
      <c r="U229" s="544"/>
      <c r="V229" s="548"/>
      <c r="W229" s="544"/>
      <c r="X229" s="541"/>
      <c r="Y229" s="541"/>
      <c r="Z229" s="541"/>
    </row>
    <row r="230" ht="21.0" customHeight="1">
      <c r="A230" s="541"/>
      <c r="B230" s="542"/>
      <c r="C230" s="542"/>
      <c r="D230" s="542"/>
      <c r="E230" s="542"/>
      <c r="F230" s="550"/>
      <c r="G230" s="550"/>
      <c r="H230" s="542"/>
      <c r="I230" s="545"/>
      <c r="J230" s="545"/>
      <c r="K230" s="544"/>
      <c r="L230" s="544"/>
      <c r="M230" s="544"/>
      <c r="N230" s="544"/>
      <c r="O230" s="541"/>
      <c r="P230" s="541"/>
      <c r="Q230" s="541"/>
      <c r="R230" s="544"/>
      <c r="S230" s="544"/>
      <c r="T230" s="544"/>
      <c r="U230" s="544"/>
      <c r="V230" s="548"/>
      <c r="W230" s="544"/>
      <c r="X230" s="541"/>
      <c r="Y230" s="541"/>
      <c r="Z230" s="541"/>
    </row>
    <row r="231" ht="21.0" customHeight="1">
      <c r="A231" s="541"/>
      <c r="B231" s="542"/>
      <c r="C231" s="542"/>
      <c r="D231" s="542"/>
      <c r="E231" s="542"/>
      <c r="F231" s="550"/>
      <c r="G231" s="550"/>
      <c r="H231" s="542"/>
      <c r="I231" s="545"/>
      <c r="J231" s="545"/>
      <c r="K231" s="544"/>
      <c r="L231" s="544"/>
      <c r="M231" s="544"/>
      <c r="N231" s="544"/>
      <c r="O231" s="541"/>
      <c r="P231" s="541"/>
      <c r="Q231" s="541"/>
      <c r="R231" s="544"/>
      <c r="S231" s="544"/>
      <c r="T231" s="544"/>
      <c r="U231" s="544"/>
      <c r="V231" s="548"/>
      <c r="W231" s="544"/>
      <c r="X231" s="541"/>
      <c r="Y231" s="541"/>
      <c r="Z231" s="541"/>
    </row>
    <row r="232" ht="21.0" customHeight="1">
      <c r="A232" s="541"/>
      <c r="B232" s="542"/>
      <c r="C232" s="542"/>
      <c r="D232" s="542"/>
      <c r="E232" s="542"/>
      <c r="F232" s="550"/>
      <c r="G232" s="550"/>
      <c r="H232" s="542"/>
      <c r="I232" s="545"/>
      <c r="J232" s="545"/>
      <c r="K232" s="544"/>
      <c r="L232" s="544"/>
      <c r="M232" s="544"/>
      <c r="N232" s="544"/>
      <c r="O232" s="541"/>
      <c r="P232" s="541"/>
      <c r="Q232" s="541"/>
      <c r="R232" s="544"/>
      <c r="S232" s="544"/>
      <c r="T232" s="544"/>
      <c r="U232" s="544"/>
      <c r="V232" s="548"/>
      <c r="W232" s="544"/>
      <c r="X232" s="541"/>
      <c r="Y232" s="541"/>
      <c r="Z232" s="541"/>
    </row>
    <row r="233" ht="21.0" customHeight="1">
      <c r="A233" s="541"/>
      <c r="B233" s="542"/>
      <c r="C233" s="542"/>
      <c r="D233" s="542"/>
      <c r="E233" s="542"/>
      <c r="F233" s="550"/>
      <c r="G233" s="550"/>
      <c r="H233" s="542"/>
      <c r="I233" s="545"/>
      <c r="J233" s="545"/>
      <c r="K233" s="544"/>
      <c r="L233" s="544"/>
      <c r="M233" s="544"/>
      <c r="N233" s="544"/>
      <c r="O233" s="541"/>
      <c r="P233" s="541"/>
      <c r="Q233" s="541"/>
      <c r="R233" s="544"/>
      <c r="S233" s="544"/>
      <c r="T233" s="544"/>
      <c r="U233" s="544"/>
      <c r="V233" s="548"/>
      <c r="W233" s="544"/>
      <c r="X233" s="541"/>
      <c r="Y233" s="541"/>
      <c r="Z233" s="541"/>
    </row>
    <row r="234" ht="21.0" customHeight="1">
      <c r="A234" s="541"/>
      <c r="B234" s="542"/>
      <c r="C234" s="567"/>
      <c r="D234" s="542"/>
      <c r="E234" s="567"/>
      <c r="F234" s="568"/>
      <c r="G234" s="568"/>
      <c r="H234" s="567"/>
      <c r="I234" s="545"/>
      <c r="J234" s="545"/>
      <c r="K234" s="544"/>
      <c r="L234" s="544"/>
      <c r="M234" s="544"/>
      <c r="N234" s="544"/>
      <c r="O234" s="541"/>
      <c r="P234" s="541"/>
      <c r="Q234" s="541"/>
      <c r="R234" s="544"/>
      <c r="S234" s="544"/>
      <c r="T234" s="544"/>
      <c r="U234" s="544"/>
      <c r="V234" s="548"/>
      <c r="W234" s="544"/>
      <c r="X234" s="541"/>
      <c r="Y234" s="541"/>
      <c r="Z234" s="541"/>
    </row>
    <row r="235" ht="21.0" customHeight="1">
      <c r="A235" s="541"/>
      <c r="B235" s="567"/>
      <c r="C235" s="567"/>
      <c r="D235" s="567"/>
      <c r="E235" s="567"/>
      <c r="F235" s="568"/>
      <c r="G235" s="568"/>
      <c r="H235" s="567"/>
      <c r="I235" s="545"/>
      <c r="J235" s="545"/>
      <c r="K235" s="544"/>
      <c r="L235" s="544"/>
      <c r="M235" s="544"/>
      <c r="N235" s="544"/>
      <c r="O235" s="541"/>
      <c r="P235" s="541"/>
      <c r="Q235" s="541"/>
      <c r="R235" s="544"/>
      <c r="S235" s="544"/>
      <c r="T235" s="544"/>
      <c r="U235" s="544"/>
      <c r="V235" s="548"/>
      <c r="W235" s="544"/>
      <c r="X235" s="541"/>
      <c r="Y235" s="541"/>
      <c r="Z235" s="541"/>
    </row>
    <row r="236" ht="21.0" customHeight="1">
      <c r="A236" s="541"/>
      <c r="B236" s="567"/>
      <c r="C236" s="567"/>
      <c r="D236" s="567"/>
      <c r="E236" s="567"/>
      <c r="F236" s="568"/>
      <c r="G236" s="568"/>
      <c r="H236" s="567"/>
      <c r="I236" s="545"/>
      <c r="J236" s="545"/>
      <c r="K236" s="544"/>
      <c r="L236" s="544"/>
      <c r="M236" s="544"/>
      <c r="N236" s="544"/>
      <c r="O236" s="541"/>
      <c r="P236" s="541"/>
      <c r="Q236" s="541"/>
      <c r="R236" s="544"/>
      <c r="S236" s="544"/>
      <c r="T236" s="544"/>
      <c r="U236" s="544"/>
      <c r="V236" s="548"/>
      <c r="W236" s="544"/>
      <c r="X236" s="541"/>
      <c r="Y236" s="541"/>
      <c r="Z236" s="541"/>
    </row>
    <row r="237" ht="21.0" customHeight="1">
      <c r="A237" s="541"/>
      <c r="B237" s="567"/>
      <c r="C237" s="567"/>
      <c r="D237" s="567"/>
      <c r="E237" s="567"/>
      <c r="F237" s="568"/>
      <c r="G237" s="568"/>
      <c r="H237" s="567"/>
      <c r="I237" s="545"/>
      <c r="J237" s="545"/>
      <c r="K237" s="544"/>
      <c r="L237" s="544"/>
      <c r="M237" s="544"/>
      <c r="N237" s="544"/>
      <c r="O237" s="541"/>
      <c r="P237" s="541"/>
      <c r="Q237" s="541"/>
      <c r="R237" s="544"/>
      <c r="S237" s="544"/>
      <c r="T237" s="544"/>
      <c r="U237" s="544"/>
      <c r="V237" s="548"/>
      <c r="W237" s="544"/>
      <c r="X237" s="541"/>
      <c r="Y237" s="541"/>
      <c r="Z237" s="541"/>
    </row>
    <row r="238" ht="21.0" customHeight="1">
      <c r="A238" s="541"/>
      <c r="B238" s="567"/>
      <c r="C238" s="567"/>
      <c r="D238" s="567"/>
      <c r="E238" s="567"/>
      <c r="F238" s="568"/>
      <c r="G238" s="568"/>
      <c r="H238" s="567"/>
      <c r="I238" s="545"/>
      <c r="J238" s="545"/>
      <c r="K238" s="544"/>
      <c r="L238" s="544"/>
      <c r="M238" s="544"/>
      <c r="N238" s="544"/>
      <c r="O238" s="541"/>
      <c r="P238" s="541"/>
      <c r="Q238" s="541"/>
      <c r="R238" s="544"/>
      <c r="S238" s="544"/>
      <c r="T238" s="544"/>
      <c r="U238" s="544"/>
      <c r="V238" s="548"/>
      <c r="W238" s="544"/>
      <c r="X238" s="541"/>
      <c r="Y238" s="541"/>
      <c r="Z238" s="541"/>
    </row>
    <row r="239" ht="21.0" customHeight="1">
      <c r="A239" s="541"/>
      <c r="B239" s="567"/>
      <c r="C239" s="567"/>
      <c r="D239" s="567"/>
      <c r="E239" s="567"/>
      <c r="F239" s="568"/>
      <c r="G239" s="568"/>
      <c r="H239" s="567"/>
      <c r="I239" s="545"/>
      <c r="J239" s="545"/>
      <c r="K239" s="544"/>
      <c r="L239" s="544"/>
      <c r="M239" s="544"/>
      <c r="N239" s="544"/>
      <c r="O239" s="541"/>
      <c r="P239" s="541"/>
      <c r="Q239" s="541"/>
      <c r="R239" s="544"/>
      <c r="S239" s="544"/>
      <c r="T239" s="544"/>
      <c r="U239" s="544"/>
      <c r="V239" s="548"/>
      <c r="W239" s="544"/>
      <c r="X239" s="541"/>
      <c r="Y239" s="541"/>
      <c r="Z239" s="541"/>
    </row>
    <row r="240" ht="21.0" customHeight="1">
      <c r="A240" s="541"/>
      <c r="B240" s="567"/>
      <c r="C240" s="567"/>
      <c r="D240" s="567"/>
      <c r="E240" s="567"/>
      <c r="F240" s="568"/>
      <c r="G240" s="568"/>
      <c r="H240" s="567"/>
      <c r="I240" s="545"/>
      <c r="J240" s="545"/>
      <c r="K240" s="544"/>
      <c r="L240" s="544"/>
      <c r="M240" s="544"/>
      <c r="N240" s="544"/>
      <c r="O240" s="541"/>
      <c r="P240" s="541"/>
      <c r="Q240" s="541"/>
      <c r="R240" s="544"/>
      <c r="S240" s="544"/>
      <c r="T240" s="544"/>
      <c r="U240" s="544"/>
      <c r="V240" s="548"/>
      <c r="W240" s="544"/>
      <c r="X240" s="541"/>
      <c r="Y240" s="541"/>
      <c r="Z240" s="541"/>
    </row>
    <row r="241" ht="21.0" customHeight="1">
      <c r="A241" s="541"/>
      <c r="B241" s="567"/>
      <c r="C241" s="567"/>
      <c r="D241" s="567"/>
      <c r="E241" s="567"/>
      <c r="F241" s="568"/>
      <c r="G241" s="568"/>
      <c r="H241" s="567"/>
      <c r="I241" s="545"/>
      <c r="J241" s="545"/>
      <c r="K241" s="544"/>
      <c r="L241" s="544"/>
      <c r="M241" s="544"/>
      <c r="N241" s="544"/>
      <c r="O241" s="541"/>
      <c r="P241" s="541"/>
      <c r="Q241" s="541"/>
      <c r="R241" s="544"/>
      <c r="S241" s="544"/>
      <c r="T241" s="544"/>
      <c r="U241" s="544"/>
      <c r="V241" s="548"/>
      <c r="W241" s="544"/>
      <c r="X241" s="541"/>
      <c r="Y241" s="541"/>
      <c r="Z241" s="541"/>
    </row>
    <row r="242" ht="21.0" customHeight="1">
      <c r="A242" s="541"/>
      <c r="B242" s="567"/>
      <c r="C242" s="567"/>
      <c r="D242" s="567"/>
      <c r="E242" s="567"/>
      <c r="F242" s="568"/>
      <c r="G242" s="568"/>
      <c r="H242" s="567"/>
      <c r="I242" s="545"/>
      <c r="J242" s="545"/>
      <c r="K242" s="544"/>
      <c r="L242" s="544"/>
      <c r="M242" s="544"/>
      <c r="N242" s="544"/>
      <c r="O242" s="541"/>
      <c r="P242" s="541"/>
      <c r="Q242" s="541"/>
      <c r="R242" s="544"/>
      <c r="S242" s="544"/>
      <c r="T242" s="544"/>
      <c r="U242" s="544"/>
      <c r="V242" s="548"/>
      <c r="W242" s="544"/>
      <c r="X242" s="541"/>
      <c r="Y242" s="541"/>
      <c r="Z242" s="541"/>
    </row>
    <row r="243" ht="21.0" customHeight="1">
      <c r="A243" s="541"/>
      <c r="B243" s="567"/>
      <c r="C243" s="567"/>
      <c r="D243" s="567"/>
      <c r="E243" s="567"/>
      <c r="F243" s="568"/>
      <c r="G243" s="568"/>
      <c r="H243" s="567"/>
      <c r="I243" s="545"/>
      <c r="J243" s="545"/>
      <c r="K243" s="544"/>
      <c r="L243" s="544"/>
      <c r="M243" s="544"/>
      <c r="N243" s="544"/>
      <c r="O243" s="541"/>
      <c r="P243" s="541"/>
      <c r="Q243" s="541"/>
      <c r="R243" s="544"/>
      <c r="S243" s="544"/>
      <c r="T243" s="544"/>
      <c r="U243" s="544"/>
      <c r="V243" s="548"/>
      <c r="W243" s="544"/>
      <c r="X243" s="541"/>
      <c r="Y243" s="541"/>
      <c r="Z243" s="541"/>
    </row>
    <row r="244" ht="21.0" customHeight="1">
      <c r="A244" s="541"/>
      <c r="B244" s="567"/>
      <c r="C244" s="567"/>
      <c r="D244" s="567"/>
      <c r="E244" s="567"/>
      <c r="F244" s="568"/>
      <c r="G244" s="568"/>
      <c r="H244" s="567"/>
      <c r="I244" s="545"/>
      <c r="J244" s="545"/>
      <c r="K244" s="544"/>
      <c r="L244" s="544"/>
      <c r="M244" s="544"/>
      <c r="N244" s="544"/>
      <c r="O244" s="541"/>
      <c r="P244" s="541"/>
      <c r="Q244" s="541"/>
      <c r="R244" s="544"/>
      <c r="S244" s="544"/>
      <c r="T244" s="544"/>
      <c r="U244" s="544"/>
      <c r="V244" s="548"/>
      <c r="W244" s="544"/>
      <c r="X244" s="541"/>
      <c r="Y244" s="541"/>
      <c r="Z244" s="541"/>
    </row>
    <row r="245" ht="21.0" customHeight="1">
      <c r="A245" s="541"/>
      <c r="B245" s="567"/>
      <c r="C245" s="567"/>
      <c r="D245" s="567"/>
      <c r="E245" s="567"/>
      <c r="F245" s="568"/>
      <c r="G245" s="568"/>
      <c r="H245" s="567"/>
      <c r="I245" s="545"/>
      <c r="J245" s="545"/>
      <c r="K245" s="544"/>
      <c r="L245" s="544"/>
      <c r="M245" s="544"/>
      <c r="N245" s="544"/>
      <c r="O245" s="541"/>
      <c r="P245" s="541"/>
      <c r="Q245" s="541"/>
      <c r="R245" s="544"/>
      <c r="S245" s="544"/>
      <c r="T245" s="544"/>
      <c r="U245" s="544"/>
      <c r="V245" s="548"/>
      <c r="W245" s="544"/>
      <c r="X245" s="541"/>
      <c r="Y245" s="541"/>
      <c r="Z245" s="541"/>
    </row>
    <row r="246" ht="21.0" customHeight="1">
      <c r="A246" s="541"/>
      <c r="B246" s="567"/>
      <c r="C246" s="567"/>
      <c r="D246" s="567"/>
      <c r="E246" s="567"/>
      <c r="F246" s="568"/>
      <c r="G246" s="568"/>
      <c r="H246" s="567"/>
      <c r="I246" s="545"/>
      <c r="J246" s="545"/>
      <c r="K246" s="544"/>
      <c r="L246" s="544"/>
      <c r="M246" s="544"/>
      <c r="N246" s="544"/>
      <c r="O246" s="541"/>
      <c r="P246" s="541"/>
      <c r="Q246" s="541"/>
      <c r="R246" s="544"/>
      <c r="S246" s="544"/>
      <c r="T246" s="544"/>
      <c r="U246" s="544"/>
      <c r="V246" s="548"/>
      <c r="W246" s="544"/>
      <c r="X246" s="541"/>
      <c r="Y246" s="541"/>
      <c r="Z246" s="541"/>
    </row>
    <row r="247" ht="21.0" customHeight="1">
      <c r="A247" s="541"/>
      <c r="B247" s="567"/>
      <c r="C247" s="567"/>
      <c r="D247" s="567"/>
      <c r="E247" s="567"/>
      <c r="F247" s="568"/>
      <c r="G247" s="568"/>
      <c r="H247" s="567"/>
      <c r="I247" s="545"/>
      <c r="J247" s="545"/>
      <c r="K247" s="544"/>
      <c r="L247" s="544"/>
      <c r="M247" s="544"/>
      <c r="N247" s="544"/>
      <c r="O247" s="541"/>
      <c r="P247" s="541"/>
      <c r="Q247" s="541"/>
      <c r="R247" s="544"/>
      <c r="S247" s="544"/>
      <c r="T247" s="544"/>
      <c r="U247" s="544"/>
      <c r="V247" s="548"/>
      <c r="W247" s="544"/>
      <c r="X247" s="541"/>
      <c r="Y247" s="541"/>
      <c r="Z247" s="541"/>
    </row>
    <row r="248" ht="21.0" customHeight="1">
      <c r="A248" s="541"/>
      <c r="B248" s="567"/>
      <c r="C248" s="567"/>
      <c r="D248" s="567"/>
      <c r="E248" s="567"/>
      <c r="F248" s="568"/>
      <c r="G248" s="568"/>
      <c r="H248" s="567"/>
      <c r="I248" s="545"/>
      <c r="J248" s="545"/>
      <c r="K248" s="544"/>
      <c r="L248" s="544"/>
      <c r="M248" s="544"/>
      <c r="N248" s="544"/>
      <c r="O248" s="541"/>
      <c r="P248" s="541"/>
      <c r="Q248" s="541"/>
      <c r="R248" s="544"/>
      <c r="S248" s="544"/>
      <c r="T248" s="544"/>
      <c r="U248" s="544"/>
      <c r="V248" s="548"/>
      <c r="W248" s="544"/>
      <c r="X248" s="541"/>
      <c r="Y248" s="541"/>
      <c r="Z248" s="541"/>
    </row>
    <row r="249" ht="21.0" customHeight="1">
      <c r="A249" s="541"/>
      <c r="B249" s="567"/>
      <c r="C249" s="567"/>
      <c r="D249" s="567"/>
      <c r="E249" s="567"/>
      <c r="F249" s="568"/>
      <c r="G249" s="568"/>
      <c r="H249" s="567"/>
      <c r="I249" s="545"/>
      <c r="J249" s="545"/>
      <c r="K249" s="544"/>
      <c r="L249" s="544"/>
      <c r="M249" s="544"/>
      <c r="N249" s="544"/>
      <c r="O249" s="541"/>
      <c r="P249" s="541"/>
      <c r="Q249" s="541"/>
      <c r="R249" s="544"/>
      <c r="S249" s="544"/>
      <c r="T249" s="544"/>
      <c r="U249" s="544"/>
      <c r="V249" s="548"/>
      <c r="W249" s="544"/>
      <c r="X249" s="541"/>
      <c r="Y249" s="541"/>
      <c r="Z249" s="541"/>
    </row>
    <row r="250" ht="21.0" customHeight="1">
      <c r="A250" s="541"/>
      <c r="B250" s="567"/>
      <c r="C250" s="567"/>
      <c r="D250" s="567"/>
      <c r="E250" s="567"/>
      <c r="F250" s="568"/>
      <c r="G250" s="568"/>
      <c r="H250" s="567"/>
      <c r="I250" s="545"/>
      <c r="J250" s="545"/>
      <c r="K250" s="544"/>
      <c r="L250" s="544"/>
      <c r="M250" s="544"/>
      <c r="N250" s="544"/>
      <c r="O250" s="541"/>
      <c r="P250" s="541"/>
      <c r="Q250" s="541"/>
      <c r="R250" s="544"/>
      <c r="S250" s="544"/>
      <c r="T250" s="544"/>
      <c r="U250" s="544"/>
      <c r="V250" s="548"/>
      <c r="W250" s="544"/>
      <c r="X250" s="541"/>
      <c r="Y250" s="541"/>
      <c r="Z250" s="541"/>
    </row>
    <row r="251" ht="21.0" customHeight="1">
      <c r="A251" s="541"/>
      <c r="B251" s="567"/>
      <c r="C251" s="567"/>
      <c r="D251" s="567"/>
      <c r="E251" s="567"/>
      <c r="F251" s="568"/>
      <c r="G251" s="568"/>
      <c r="H251" s="567"/>
      <c r="I251" s="545"/>
      <c r="J251" s="545"/>
      <c r="K251" s="544"/>
      <c r="L251" s="544"/>
      <c r="M251" s="544"/>
      <c r="N251" s="544"/>
      <c r="O251" s="541"/>
      <c r="P251" s="541"/>
      <c r="Q251" s="541"/>
      <c r="R251" s="544"/>
      <c r="S251" s="544"/>
      <c r="T251" s="544"/>
      <c r="U251" s="544"/>
      <c r="V251" s="548"/>
      <c r="W251" s="544"/>
      <c r="X251" s="541"/>
      <c r="Y251" s="541"/>
      <c r="Z251" s="541"/>
    </row>
    <row r="252" ht="21.0" customHeight="1">
      <c r="A252" s="541"/>
      <c r="B252" s="567"/>
      <c r="C252" s="567"/>
      <c r="D252" s="567"/>
      <c r="E252" s="567"/>
      <c r="F252" s="568"/>
      <c r="G252" s="568"/>
      <c r="H252" s="567"/>
      <c r="I252" s="545"/>
      <c r="J252" s="545"/>
      <c r="K252" s="544"/>
      <c r="L252" s="544"/>
      <c r="M252" s="544"/>
      <c r="N252" s="544"/>
      <c r="O252" s="541"/>
      <c r="P252" s="541"/>
      <c r="Q252" s="541"/>
      <c r="R252" s="544"/>
      <c r="S252" s="544"/>
      <c r="T252" s="544"/>
      <c r="U252" s="544"/>
      <c r="V252" s="548"/>
      <c r="W252" s="544"/>
      <c r="X252" s="541"/>
      <c r="Y252" s="541"/>
      <c r="Z252" s="541"/>
    </row>
    <row r="253" ht="21.0" customHeight="1">
      <c r="A253" s="541"/>
      <c r="B253" s="569"/>
      <c r="C253" s="569"/>
      <c r="D253" s="569"/>
      <c r="E253" s="569"/>
      <c r="F253" s="570"/>
      <c r="G253" s="570"/>
      <c r="H253" s="569"/>
      <c r="I253" s="571"/>
      <c r="J253" s="571"/>
      <c r="K253" s="544"/>
      <c r="L253" s="544"/>
      <c r="M253" s="544"/>
      <c r="N253" s="544"/>
      <c r="O253" s="541"/>
      <c r="P253" s="541"/>
      <c r="Q253" s="541"/>
      <c r="R253" s="544"/>
      <c r="S253" s="544"/>
      <c r="T253" s="544"/>
      <c r="U253" s="544"/>
      <c r="V253" s="548"/>
      <c r="W253" s="544"/>
      <c r="X253" s="541"/>
      <c r="Y253" s="541"/>
      <c r="Z253" s="541"/>
    </row>
    <row r="254" ht="21.0" customHeight="1">
      <c r="A254" s="541"/>
      <c r="B254" s="569"/>
      <c r="C254" s="569"/>
      <c r="D254" s="569"/>
      <c r="E254" s="569"/>
      <c r="F254" s="570"/>
      <c r="G254" s="570"/>
      <c r="H254" s="569"/>
      <c r="I254" s="571"/>
      <c r="J254" s="571"/>
      <c r="K254" s="544"/>
      <c r="L254" s="544"/>
      <c r="M254" s="544"/>
      <c r="N254" s="544"/>
      <c r="O254" s="541"/>
      <c r="P254" s="541"/>
      <c r="Q254" s="541"/>
      <c r="R254" s="544"/>
      <c r="S254" s="544"/>
      <c r="T254" s="544"/>
      <c r="U254" s="544"/>
      <c r="V254" s="544"/>
      <c r="W254" s="544"/>
      <c r="X254" s="541"/>
      <c r="Y254" s="541"/>
      <c r="Z254" s="541"/>
    </row>
    <row r="255" ht="21.0" customHeight="1">
      <c r="A255" s="541"/>
      <c r="B255" s="569"/>
      <c r="C255" s="569"/>
      <c r="D255" s="569"/>
      <c r="E255" s="569"/>
      <c r="F255" s="570"/>
      <c r="G255" s="570"/>
      <c r="H255" s="569"/>
      <c r="I255" s="571"/>
      <c r="J255" s="571"/>
      <c r="K255" s="544"/>
      <c r="L255" s="544"/>
      <c r="M255" s="544"/>
      <c r="N255" s="544"/>
      <c r="O255" s="541"/>
      <c r="P255" s="541"/>
      <c r="Q255" s="541"/>
      <c r="R255" s="544"/>
      <c r="S255" s="544"/>
      <c r="T255" s="544"/>
      <c r="U255" s="544"/>
      <c r="V255" s="544"/>
      <c r="W255" s="544"/>
      <c r="X255" s="541"/>
      <c r="Y255" s="541"/>
      <c r="Z255" s="541"/>
    </row>
    <row r="256" ht="21.0" customHeight="1">
      <c r="A256" s="541"/>
      <c r="B256" s="569"/>
      <c r="C256" s="569"/>
      <c r="D256" s="569"/>
      <c r="E256" s="569"/>
      <c r="F256" s="570"/>
      <c r="G256" s="570"/>
      <c r="H256" s="569"/>
      <c r="I256" s="571"/>
      <c r="J256" s="571"/>
      <c r="K256" s="544"/>
      <c r="L256" s="544"/>
      <c r="M256" s="544"/>
      <c r="N256" s="544"/>
      <c r="O256" s="541"/>
      <c r="P256" s="541"/>
      <c r="Q256" s="541"/>
      <c r="R256" s="544"/>
      <c r="S256" s="544"/>
      <c r="T256" s="544"/>
      <c r="U256" s="544"/>
      <c r="V256" s="544"/>
      <c r="W256" s="544"/>
      <c r="X256" s="541"/>
      <c r="Y256" s="541"/>
      <c r="Z256" s="541"/>
    </row>
    <row r="257" ht="21.0" customHeight="1">
      <c r="A257" s="541"/>
      <c r="B257" s="569"/>
      <c r="C257" s="569"/>
      <c r="D257" s="569"/>
      <c r="E257" s="569"/>
      <c r="F257" s="570"/>
      <c r="G257" s="570"/>
      <c r="H257" s="569"/>
      <c r="I257" s="571"/>
      <c r="J257" s="571"/>
      <c r="K257" s="544"/>
      <c r="L257" s="544"/>
      <c r="M257" s="544"/>
      <c r="N257" s="544"/>
      <c r="O257" s="541"/>
      <c r="P257" s="541"/>
      <c r="Q257" s="541"/>
      <c r="R257" s="544"/>
      <c r="S257" s="544"/>
      <c r="T257" s="544"/>
      <c r="U257" s="544"/>
      <c r="V257" s="544"/>
      <c r="W257" s="544"/>
      <c r="X257" s="541"/>
      <c r="Y257" s="541"/>
      <c r="Z257" s="541"/>
    </row>
    <row r="258" ht="21.0" customHeight="1">
      <c r="A258" s="541"/>
      <c r="B258" s="572"/>
      <c r="C258" s="572"/>
      <c r="D258" s="572"/>
      <c r="E258" s="572"/>
      <c r="F258" s="573"/>
      <c r="G258" s="573"/>
      <c r="H258" s="572"/>
      <c r="I258" s="574"/>
      <c r="J258" s="574"/>
      <c r="K258" s="544"/>
      <c r="L258" s="544"/>
      <c r="M258" s="544"/>
      <c r="N258" s="544"/>
      <c r="O258" s="541"/>
      <c r="P258" s="541"/>
      <c r="Q258" s="541"/>
      <c r="R258" s="544"/>
      <c r="S258" s="544"/>
      <c r="T258" s="544"/>
      <c r="U258" s="544"/>
      <c r="V258" s="544"/>
      <c r="W258" s="544"/>
      <c r="X258" s="541"/>
      <c r="Y258" s="541"/>
      <c r="Z258" s="541"/>
    </row>
    <row r="259" ht="21.0" customHeight="1">
      <c r="A259" s="541"/>
      <c r="B259" s="572"/>
      <c r="C259" s="572"/>
      <c r="D259" s="572"/>
      <c r="E259" s="572"/>
      <c r="F259" s="573"/>
      <c r="G259" s="573"/>
      <c r="H259" s="572"/>
      <c r="I259" s="574"/>
      <c r="J259" s="574"/>
      <c r="K259" s="544"/>
      <c r="L259" s="544"/>
      <c r="M259" s="544"/>
      <c r="N259" s="544"/>
      <c r="O259" s="541"/>
      <c r="P259" s="541"/>
      <c r="Q259" s="541"/>
      <c r="R259" s="544"/>
      <c r="S259" s="544"/>
      <c r="T259" s="544"/>
      <c r="U259" s="544"/>
      <c r="V259" s="544"/>
      <c r="W259" s="544"/>
      <c r="X259" s="541"/>
      <c r="Y259" s="541"/>
      <c r="Z259" s="541"/>
    </row>
    <row r="260" ht="21.0" customHeight="1">
      <c r="A260" s="541"/>
      <c r="B260" s="572"/>
      <c r="C260" s="572"/>
      <c r="D260" s="572"/>
      <c r="E260" s="572"/>
      <c r="F260" s="573"/>
      <c r="G260" s="573"/>
      <c r="H260" s="572"/>
      <c r="I260" s="574"/>
      <c r="J260" s="574"/>
      <c r="K260" s="544"/>
      <c r="L260" s="544"/>
      <c r="M260" s="544"/>
      <c r="N260" s="544"/>
      <c r="O260" s="541"/>
      <c r="P260" s="541"/>
      <c r="Q260" s="541"/>
      <c r="R260" s="544"/>
      <c r="S260" s="544"/>
      <c r="T260" s="544"/>
      <c r="U260" s="544"/>
      <c r="V260" s="544"/>
      <c r="W260" s="544"/>
      <c r="X260" s="541"/>
      <c r="Y260" s="541"/>
      <c r="Z260" s="541"/>
    </row>
    <row r="261" ht="21.0" customHeight="1">
      <c r="A261" s="541"/>
      <c r="B261" s="572"/>
      <c r="C261" s="572"/>
      <c r="D261" s="572"/>
      <c r="E261" s="572"/>
      <c r="F261" s="573"/>
      <c r="G261" s="573"/>
      <c r="H261" s="572"/>
      <c r="I261" s="574"/>
      <c r="J261" s="574"/>
      <c r="K261" s="544"/>
      <c r="L261" s="544"/>
      <c r="M261" s="544"/>
      <c r="N261" s="544"/>
      <c r="O261" s="541"/>
      <c r="P261" s="541"/>
      <c r="Q261" s="541"/>
      <c r="R261" s="544"/>
      <c r="S261" s="544"/>
      <c r="T261" s="544"/>
      <c r="U261" s="544"/>
      <c r="V261" s="544"/>
      <c r="W261" s="544"/>
      <c r="X261" s="541"/>
      <c r="Y261" s="541"/>
      <c r="Z261" s="541"/>
    </row>
    <row r="262" ht="21.0" customHeight="1">
      <c r="A262" s="541"/>
      <c r="B262" s="572"/>
      <c r="C262" s="572"/>
      <c r="D262" s="572"/>
      <c r="E262" s="572"/>
      <c r="F262" s="573"/>
      <c r="G262" s="573"/>
      <c r="H262" s="572"/>
      <c r="I262" s="574"/>
      <c r="J262" s="574"/>
      <c r="K262" s="544"/>
      <c r="L262" s="544"/>
      <c r="M262" s="544"/>
      <c r="N262" s="544"/>
      <c r="O262" s="541"/>
      <c r="P262" s="541"/>
      <c r="Q262" s="541"/>
      <c r="R262" s="544"/>
      <c r="S262" s="544"/>
      <c r="T262" s="544"/>
      <c r="U262" s="544"/>
      <c r="V262" s="544"/>
      <c r="W262" s="544"/>
      <c r="X262" s="541"/>
      <c r="Y262" s="541"/>
      <c r="Z262" s="541"/>
    </row>
    <row r="263" ht="21.0" customHeight="1">
      <c r="A263" s="541"/>
      <c r="B263" s="572"/>
      <c r="C263" s="572"/>
      <c r="D263" s="572"/>
      <c r="E263" s="572"/>
      <c r="F263" s="573"/>
      <c r="G263" s="573"/>
      <c r="H263" s="572"/>
      <c r="I263" s="574"/>
      <c r="J263" s="574"/>
      <c r="K263" s="544"/>
      <c r="L263" s="544"/>
      <c r="M263" s="544"/>
      <c r="N263" s="544"/>
      <c r="O263" s="541"/>
      <c r="P263" s="541"/>
      <c r="Q263" s="541"/>
      <c r="R263" s="544"/>
      <c r="S263" s="544"/>
      <c r="T263" s="544"/>
      <c r="U263" s="544"/>
      <c r="V263" s="544"/>
      <c r="W263" s="544"/>
      <c r="X263" s="541"/>
      <c r="Y263" s="541"/>
      <c r="Z263" s="541"/>
    </row>
    <row r="264" ht="21.0" customHeight="1">
      <c r="A264" s="541"/>
      <c r="B264" s="572"/>
      <c r="C264" s="572"/>
      <c r="D264" s="572"/>
      <c r="E264" s="572"/>
      <c r="F264" s="573"/>
      <c r="G264" s="573"/>
      <c r="H264" s="572"/>
      <c r="I264" s="574"/>
      <c r="J264" s="574"/>
      <c r="K264" s="544"/>
      <c r="L264" s="544"/>
      <c r="M264" s="544"/>
      <c r="N264" s="544"/>
      <c r="O264" s="541"/>
      <c r="P264" s="541"/>
      <c r="Q264" s="541"/>
      <c r="R264" s="544"/>
      <c r="S264" s="544"/>
      <c r="T264" s="544"/>
      <c r="U264" s="544"/>
      <c r="V264" s="544"/>
      <c r="W264" s="544"/>
      <c r="X264" s="541"/>
      <c r="Y264" s="541"/>
      <c r="Z264" s="541"/>
    </row>
    <row r="265" ht="21.0" customHeight="1">
      <c r="A265" s="541"/>
      <c r="B265" s="572"/>
      <c r="C265" s="572"/>
      <c r="D265" s="572"/>
      <c r="E265" s="572"/>
      <c r="F265" s="573"/>
      <c r="G265" s="573"/>
      <c r="H265" s="572"/>
      <c r="I265" s="574"/>
      <c r="J265" s="574"/>
      <c r="K265" s="544"/>
      <c r="L265" s="544"/>
      <c r="M265" s="544"/>
      <c r="N265" s="544"/>
      <c r="O265" s="541"/>
      <c r="P265" s="541"/>
      <c r="Q265" s="541"/>
      <c r="R265" s="544"/>
      <c r="S265" s="544"/>
      <c r="T265" s="544"/>
      <c r="U265" s="544"/>
      <c r="V265" s="544"/>
      <c r="W265" s="544"/>
      <c r="X265" s="541"/>
      <c r="Y265" s="541"/>
      <c r="Z265" s="541"/>
    </row>
    <row r="266" ht="21.0" customHeight="1">
      <c r="A266" s="541"/>
      <c r="B266" s="572"/>
      <c r="C266" s="572"/>
      <c r="D266" s="572"/>
      <c r="E266" s="572"/>
      <c r="F266" s="573"/>
      <c r="G266" s="573"/>
      <c r="H266" s="572"/>
      <c r="I266" s="574"/>
      <c r="J266" s="574"/>
      <c r="K266" s="544"/>
      <c r="L266" s="544"/>
      <c r="M266" s="544"/>
      <c r="N266" s="544"/>
      <c r="O266" s="541"/>
      <c r="P266" s="541"/>
      <c r="Q266" s="541"/>
      <c r="R266" s="544"/>
      <c r="S266" s="544"/>
      <c r="T266" s="544"/>
      <c r="U266" s="544"/>
      <c r="V266" s="544"/>
      <c r="W266" s="544"/>
      <c r="X266" s="541"/>
      <c r="Y266" s="541"/>
      <c r="Z266" s="541"/>
    </row>
    <row r="267" ht="21.0" customHeight="1">
      <c r="A267" s="541"/>
      <c r="B267" s="572"/>
      <c r="C267" s="572"/>
      <c r="D267" s="572"/>
      <c r="E267" s="572"/>
      <c r="F267" s="573"/>
      <c r="G267" s="573"/>
      <c r="H267" s="572"/>
      <c r="I267" s="574"/>
      <c r="J267" s="574"/>
      <c r="K267" s="544"/>
      <c r="L267" s="544"/>
      <c r="M267" s="544"/>
      <c r="N267" s="544"/>
      <c r="O267" s="541"/>
      <c r="P267" s="541"/>
      <c r="Q267" s="541"/>
      <c r="R267" s="544"/>
      <c r="S267" s="544"/>
      <c r="T267" s="544"/>
      <c r="U267" s="544"/>
      <c r="V267" s="544"/>
      <c r="W267" s="544"/>
      <c r="X267" s="541"/>
      <c r="Y267" s="541"/>
      <c r="Z267" s="541"/>
    </row>
    <row r="268" ht="21.0" customHeight="1">
      <c r="A268" s="541"/>
      <c r="B268" s="572"/>
      <c r="C268" s="572"/>
      <c r="D268" s="572"/>
      <c r="E268" s="572"/>
      <c r="F268" s="573"/>
      <c r="G268" s="573"/>
      <c r="H268" s="572"/>
      <c r="I268" s="574"/>
      <c r="J268" s="574"/>
      <c r="K268" s="544"/>
      <c r="L268" s="544"/>
      <c r="M268" s="544"/>
      <c r="N268" s="544"/>
      <c r="O268" s="541"/>
      <c r="P268" s="541"/>
      <c r="Q268" s="541"/>
      <c r="R268" s="544"/>
      <c r="S268" s="544"/>
      <c r="T268" s="544"/>
      <c r="U268" s="544"/>
      <c r="V268" s="544"/>
      <c r="W268" s="544"/>
      <c r="X268" s="541"/>
      <c r="Y268" s="541"/>
      <c r="Z268" s="541"/>
    </row>
    <row r="269" ht="21.0" customHeight="1">
      <c r="A269" s="541"/>
      <c r="B269" s="572"/>
      <c r="C269" s="572"/>
      <c r="D269" s="572"/>
      <c r="E269" s="572"/>
      <c r="F269" s="573"/>
      <c r="G269" s="573"/>
      <c r="H269" s="572"/>
      <c r="I269" s="574"/>
      <c r="J269" s="574"/>
      <c r="K269" s="544"/>
      <c r="L269" s="544"/>
      <c r="M269" s="544"/>
      <c r="N269" s="544"/>
      <c r="O269" s="541"/>
      <c r="P269" s="541"/>
      <c r="Q269" s="541"/>
      <c r="R269" s="544"/>
      <c r="S269" s="544"/>
      <c r="T269" s="544"/>
      <c r="U269" s="544"/>
      <c r="V269" s="544"/>
      <c r="W269" s="544"/>
      <c r="X269" s="541"/>
      <c r="Y269" s="541"/>
      <c r="Z269" s="541"/>
    </row>
    <row r="270" ht="21.0" customHeight="1">
      <c r="A270" s="541"/>
      <c r="B270" s="572"/>
      <c r="C270" s="572"/>
      <c r="D270" s="572"/>
      <c r="E270" s="572"/>
      <c r="F270" s="573"/>
      <c r="G270" s="573"/>
      <c r="H270" s="572"/>
      <c r="I270" s="574"/>
      <c r="J270" s="574"/>
      <c r="K270" s="544"/>
      <c r="L270" s="544"/>
      <c r="M270" s="544"/>
      <c r="N270" s="544"/>
      <c r="O270" s="541"/>
      <c r="P270" s="541"/>
      <c r="Q270" s="541"/>
      <c r="R270" s="544"/>
      <c r="S270" s="544"/>
      <c r="T270" s="544"/>
      <c r="U270" s="544"/>
      <c r="V270" s="544"/>
      <c r="W270" s="544"/>
      <c r="X270" s="541"/>
      <c r="Y270" s="541"/>
      <c r="Z270" s="541"/>
    </row>
    <row r="271" ht="21.0" customHeight="1">
      <c r="A271" s="541"/>
      <c r="B271" s="572"/>
      <c r="C271" s="572"/>
      <c r="D271" s="572"/>
      <c r="E271" s="572"/>
      <c r="F271" s="573"/>
      <c r="G271" s="573"/>
      <c r="H271" s="572"/>
      <c r="I271" s="574"/>
      <c r="J271" s="574"/>
      <c r="K271" s="544"/>
      <c r="L271" s="544"/>
      <c r="M271" s="544"/>
      <c r="N271" s="544"/>
      <c r="O271" s="541"/>
      <c r="P271" s="541"/>
      <c r="Q271" s="541"/>
      <c r="R271" s="544"/>
      <c r="S271" s="544"/>
      <c r="T271" s="544"/>
      <c r="U271" s="544"/>
      <c r="V271" s="544"/>
      <c r="W271" s="544"/>
      <c r="X271" s="541"/>
      <c r="Y271" s="541"/>
      <c r="Z271" s="541"/>
    </row>
    <row r="272" ht="21.0" customHeight="1">
      <c r="A272" s="541"/>
      <c r="B272" s="572"/>
      <c r="C272" s="572"/>
      <c r="D272" s="572"/>
      <c r="E272" s="572"/>
      <c r="F272" s="573"/>
      <c r="G272" s="573"/>
      <c r="H272" s="572"/>
      <c r="I272" s="574"/>
      <c r="J272" s="574"/>
      <c r="K272" s="544"/>
      <c r="L272" s="544"/>
      <c r="M272" s="544"/>
      <c r="N272" s="544"/>
      <c r="O272" s="541"/>
      <c r="P272" s="541"/>
      <c r="Q272" s="541"/>
      <c r="R272" s="544"/>
      <c r="S272" s="544"/>
      <c r="T272" s="544"/>
      <c r="U272" s="544"/>
      <c r="V272" s="544"/>
      <c r="W272" s="544"/>
      <c r="X272" s="541"/>
      <c r="Y272" s="541"/>
      <c r="Z272" s="541"/>
    </row>
    <row r="273" ht="21.0" customHeight="1">
      <c r="A273" s="541"/>
      <c r="B273" s="572"/>
      <c r="C273" s="572"/>
      <c r="D273" s="572"/>
      <c r="E273" s="572"/>
      <c r="F273" s="573"/>
      <c r="G273" s="573"/>
      <c r="H273" s="572"/>
      <c r="I273" s="574"/>
      <c r="J273" s="574"/>
      <c r="K273" s="544"/>
      <c r="L273" s="544"/>
      <c r="M273" s="544"/>
      <c r="N273" s="544"/>
      <c r="O273" s="541"/>
      <c r="P273" s="541"/>
      <c r="Q273" s="541"/>
      <c r="R273" s="544"/>
      <c r="S273" s="544"/>
      <c r="T273" s="544"/>
      <c r="U273" s="544"/>
      <c r="V273" s="544"/>
      <c r="W273" s="544"/>
      <c r="X273" s="541"/>
      <c r="Y273" s="541"/>
      <c r="Z273" s="541"/>
    </row>
    <row r="274" ht="21.0" customHeight="1">
      <c r="A274" s="541"/>
      <c r="B274" s="572"/>
      <c r="C274" s="572"/>
      <c r="D274" s="572"/>
      <c r="E274" s="572"/>
      <c r="F274" s="573"/>
      <c r="G274" s="573"/>
      <c r="H274" s="572"/>
      <c r="I274" s="574"/>
      <c r="J274" s="574"/>
      <c r="K274" s="544"/>
      <c r="L274" s="544"/>
      <c r="M274" s="544"/>
      <c r="N274" s="544"/>
      <c r="O274" s="541"/>
      <c r="P274" s="541"/>
      <c r="Q274" s="541"/>
      <c r="R274" s="544"/>
      <c r="S274" s="544"/>
      <c r="T274" s="544"/>
      <c r="U274" s="544"/>
      <c r="V274" s="544"/>
      <c r="W274" s="544"/>
      <c r="X274" s="541"/>
      <c r="Y274" s="541"/>
      <c r="Z274" s="541"/>
    </row>
    <row r="275" ht="21.0" customHeight="1">
      <c r="A275" s="541"/>
      <c r="B275" s="572"/>
      <c r="C275" s="572"/>
      <c r="D275" s="572"/>
      <c r="E275" s="572"/>
      <c r="F275" s="573"/>
      <c r="G275" s="573"/>
      <c r="H275" s="572"/>
      <c r="I275" s="574"/>
      <c r="J275" s="574"/>
      <c r="K275" s="544"/>
      <c r="L275" s="544"/>
      <c r="M275" s="544"/>
      <c r="N275" s="544"/>
      <c r="O275" s="541"/>
      <c r="P275" s="541"/>
      <c r="Q275" s="541"/>
      <c r="R275" s="544"/>
      <c r="S275" s="544"/>
      <c r="T275" s="544"/>
      <c r="U275" s="544"/>
      <c r="V275" s="544"/>
      <c r="W275" s="544"/>
      <c r="X275" s="541"/>
      <c r="Y275" s="541"/>
      <c r="Z275" s="541"/>
    </row>
    <row r="276" ht="21.0" customHeight="1">
      <c r="A276" s="541"/>
      <c r="B276" s="572"/>
      <c r="C276" s="572"/>
      <c r="D276" s="572"/>
      <c r="E276" s="572"/>
      <c r="F276" s="573"/>
      <c r="G276" s="573"/>
      <c r="H276" s="572"/>
      <c r="I276" s="574"/>
      <c r="J276" s="574"/>
      <c r="K276" s="544"/>
      <c r="L276" s="544"/>
      <c r="M276" s="544"/>
      <c r="N276" s="544"/>
      <c r="O276" s="541"/>
      <c r="P276" s="541"/>
      <c r="Q276" s="541"/>
      <c r="R276" s="544"/>
      <c r="S276" s="544"/>
      <c r="T276" s="544"/>
      <c r="U276" s="544"/>
      <c r="V276" s="544"/>
      <c r="W276" s="544"/>
      <c r="X276" s="541"/>
      <c r="Y276" s="541"/>
      <c r="Z276" s="541"/>
    </row>
    <row r="277" ht="21.0" customHeight="1">
      <c r="A277" s="541"/>
      <c r="B277" s="572"/>
      <c r="C277" s="572"/>
      <c r="D277" s="572"/>
      <c r="E277" s="572"/>
      <c r="F277" s="573"/>
      <c r="G277" s="573"/>
      <c r="H277" s="572"/>
      <c r="I277" s="574"/>
      <c r="J277" s="574"/>
      <c r="K277" s="544"/>
      <c r="L277" s="544"/>
      <c r="M277" s="544"/>
      <c r="N277" s="544"/>
      <c r="O277" s="541"/>
      <c r="P277" s="541"/>
      <c r="Q277" s="541"/>
      <c r="R277" s="544"/>
      <c r="S277" s="544"/>
      <c r="T277" s="544"/>
      <c r="U277" s="544"/>
      <c r="V277" s="544"/>
      <c r="W277" s="544"/>
      <c r="X277" s="541"/>
      <c r="Y277" s="541"/>
      <c r="Z277" s="541"/>
    </row>
    <row r="278" ht="21.0" customHeight="1">
      <c r="A278" s="541"/>
      <c r="B278" s="572"/>
      <c r="C278" s="572"/>
      <c r="D278" s="572"/>
      <c r="E278" s="572"/>
      <c r="F278" s="573"/>
      <c r="G278" s="573"/>
      <c r="H278" s="572"/>
      <c r="I278" s="574"/>
      <c r="J278" s="574"/>
      <c r="K278" s="544"/>
      <c r="L278" s="544"/>
      <c r="M278" s="544"/>
      <c r="N278" s="544"/>
      <c r="O278" s="541"/>
      <c r="P278" s="541"/>
      <c r="Q278" s="541"/>
      <c r="R278" s="544"/>
      <c r="S278" s="544"/>
      <c r="T278" s="544"/>
      <c r="U278" s="544"/>
      <c r="V278" s="544"/>
      <c r="W278" s="544"/>
      <c r="X278" s="541"/>
      <c r="Y278" s="541"/>
      <c r="Z278" s="541"/>
    </row>
    <row r="279" ht="21.0" customHeight="1">
      <c r="A279" s="541"/>
      <c r="B279" s="572"/>
      <c r="C279" s="572"/>
      <c r="D279" s="572"/>
      <c r="E279" s="572"/>
      <c r="F279" s="573"/>
      <c r="G279" s="573"/>
      <c r="H279" s="572"/>
      <c r="I279" s="574"/>
      <c r="J279" s="574"/>
      <c r="K279" s="544"/>
      <c r="L279" s="544"/>
      <c r="M279" s="544"/>
      <c r="N279" s="544"/>
      <c r="O279" s="541"/>
      <c r="P279" s="541"/>
      <c r="Q279" s="541"/>
      <c r="R279" s="544"/>
      <c r="S279" s="544"/>
      <c r="T279" s="544"/>
      <c r="U279" s="544"/>
      <c r="V279" s="544"/>
      <c r="W279" s="544"/>
      <c r="X279" s="541"/>
      <c r="Y279" s="541"/>
      <c r="Z279" s="541"/>
    </row>
    <row r="280" ht="21.0" customHeight="1">
      <c r="A280" s="541"/>
      <c r="B280" s="572"/>
      <c r="C280" s="572"/>
      <c r="D280" s="572"/>
      <c r="E280" s="572"/>
      <c r="F280" s="573"/>
      <c r="G280" s="573"/>
      <c r="H280" s="572"/>
      <c r="I280" s="574"/>
      <c r="J280" s="574"/>
      <c r="K280" s="544"/>
      <c r="L280" s="544"/>
      <c r="M280" s="544"/>
      <c r="N280" s="544"/>
      <c r="O280" s="541"/>
      <c r="P280" s="541"/>
      <c r="Q280" s="541"/>
      <c r="R280" s="544"/>
      <c r="S280" s="544"/>
      <c r="T280" s="544"/>
      <c r="U280" s="544"/>
      <c r="V280" s="544"/>
      <c r="W280" s="544"/>
      <c r="X280" s="541"/>
      <c r="Y280" s="541"/>
      <c r="Z280" s="541"/>
    </row>
    <row r="281" ht="21.0" customHeight="1">
      <c r="A281" s="541"/>
      <c r="B281" s="572"/>
      <c r="C281" s="572"/>
      <c r="D281" s="572"/>
      <c r="E281" s="572"/>
      <c r="F281" s="573"/>
      <c r="G281" s="573"/>
      <c r="H281" s="572"/>
      <c r="I281" s="574"/>
      <c r="J281" s="574"/>
      <c r="K281" s="544"/>
      <c r="L281" s="544"/>
      <c r="M281" s="544"/>
      <c r="N281" s="544"/>
      <c r="O281" s="541"/>
      <c r="P281" s="541"/>
      <c r="Q281" s="541"/>
      <c r="R281" s="544"/>
      <c r="S281" s="544"/>
      <c r="T281" s="544"/>
      <c r="U281" s="544"/>
      <c r="V281" s="544"/>
      <c r="W281" s="544"/>
      <c r="X281" s="541"/>
      <c r="Y281" s="541"/>
      <c r="Z281" s="541"/>
    </row>
    <row r="282" ht="21.0" customHeight="1">
      <c r="A282" s="541"/>
      <c r="B282" s="572"/>
      <c r="C282" s="572"/>
      <c r="D282" s="572"/>
      <c r="E282" s="572"/>
      <c r="F282" s="573"/>
      <c r="G282" s="573"/>
      <c r="H282" s="572"/>
      <c r="I282" s="574"/>
      <c r="J282" s="574"/>
      <c r="K282" s="544"/>
      <c r="L282" s="544"/>
      <c r="M282" s="544"/>
      <c r="N282" s="544"/>
      <c r="O282" s="541"/>
      <c r="P282" s="541"/>
      <c r="Q282" s="541"/>
      <c r="R282" s="544"/>
      <c r="S282" s="544"/>
      <c r="T282" s="544"/>
      <c r="U282" s="544"/>
      <c r="V282" s="544"/>
      <c r="W282" s="544"/>
      <c r="X282" s="541"/>
      <c r="Y282" s="541"/>
      <c r="Z282" s="541"/>
    </row>
    <row r="283" ht="21.0" customHeight="1">
      <c r="A283" s="541"/>
      <c r="B283" s="572"/>
      <c r="C283" s="572"/>
      <c r="D283" s="572"/>
      <c r="E283" s="572"/>
      <c r="F283" s="573"/>
      <c r="G283" s="573"/>
      <c r="H283" s="572"/>
      <c r="I283" s="574"/>
      <c r="J283" s="574"/>
      <c r="K283" s="544"/>
      <c r="L283" s="544"/>
      <c r="M283" s="544"/>
      <c r="N283" s="544"/>
      <c r="O283" s="541"/>
      <c r="P283" s="541"/>
      <c r="Q283" s="541"/>
      <c r="R283" s="544"/>
      <c r="S283" s="544"/>
      <c r="T283" s="544"/>
      <c r="U283" s="544"/>
      <c r="V283" s="544"/>
      <c r="W283" s="544"/>
      <c r="X283" s="541"/>
      <c r="Y283" s="541"/>
      <c r="Z283" s="541"/>
    </row>
    <row r="284" ht="21.0" customHeight="1">
      <c r="A284" s="541"/>
      <c r="B284" s="572"/>
      <c r="C284" s="572"/>
      <c r="D284" s="572"/>
      <c r="E284" s="572"/>
      <c r="F284" s="573"/>
      <c r="G284" s="573"/>
      <c r="H284" s="572"/>
      <c r="I284" s="574"/>
      <c r="J284" s="574"/>
      <c r="K284" s="544"/>
      <c r="L284" s="544"/>
      <c r="M284" s="544"/>
      <c r="N284" s="544"/>
      <c r="O284" s="541"/>
      <c r="P284" s="541"/>
      <c r="Q284" s="541"/>
      <c r="R284" s="544"/>
      <c r="S284" s="544"/>
      <c r="T284" s="544"/>
      <c r="U284" s="544"/>
      <c r="V284" s="544"/>
      <c r="W284" s="544"/>
      <c r="X284" s="541"/>
      <c r="Y284" s="541"/>
      <c r="Z284" s="541"/>
    </row>
    <row r="285" ht="21.0" customHeight="1">
      <c r="A285" s="541"/>
      <c r="B285" s="572"/>
      <c r="C285" s="572"/>
      <c r="D285" s="572"/>
      <c r="E285" s="572"/>
      <c r="F285" s="573"/>
      <c r="G285" s="573"/>
      <c r="H285" s="572"/>
      <c r="I285" s="574"/>
      <c r="J285" s="574"/>
      <c r="K285" s="544"/>
      <c r="L285" s="544"/>
      <c r="M285" s="544"/>
      <c r="N285" s="544"/>
      <c r="O285" s="541"/>
      <c r="P285" s="541"/>
      <c r="Q285" s="541"/>
      <c r="R285" s="544"/>
      <c r="S285" s="544"/>
      <c r="T285" s="544"/>
      <c r="U285" s="544"/>
      <c r="V285" s="544"/>
      <c r="W285" s="544"/>
      <c r="X285" s="541"/>
      <c r="Y285" s="541"/>
      <c r="Z285" s="541"/>
    </row>
    <row r="286" ht="21.0" customHeight="1">
      <c r="A286" s="541"/>
      <c r="B286" s="572"/>
      <c r="C286" s="572"/>
      <c r="D286" s="572"/>
      <c r="E286" s="572"/>
      <c r="F286" s="573"/>
      <c r="G286" s="573"/>
      <c r="H286" s="572"/>
      <c r="I286" s="574"/>
      <c r="J286" s="574"/>
      <c r="K286" s="544"/>
      <c r="L286" s="544"/>
      <c r="M286" s="544"/>
      <c r="N286" s="544"/>
      <c r="O286" s="541"/>
      <c r="P286" s="541"/>
      <c r="Q286" s="541"/>
      <c r="R286" s="544"/>
      <c r="S286" s="544"/>
      <c r="T286" s="544"/>
      <c r="U286" s="544"/>
      <c r="V286" s="544"/>
      <c r="W286" s="544"/>
      <c r="X286" s="541"/>
      <c r="Y286" s="541"/>
      <c r="Z286" s="541"/>
    </row>
    <row r="287" ht="21.0" customHeight="1">
      <c r="A287" s="541"/>
      <c r="B287" s="572"/>
      <c r="C287" s="572"/>
      <c r="D287" s="572"/>
      <c r="E287" s="572"/>
      <c r="F287" s="573"/>
      <c r="G287" s="573"/>
      <c r="H287" s="572"/>
      <c r="I287" s="574"/>
      <c r="J287" s="574"/>
      <c r="K287" s="544"/>
      <c r="L287" s="544"/>
      <c r="M287" s="544"/>
      <c r="N287" s="544"/>
      <c r="O287" s="541"/>
      <c r="P287" s="541"/>
      <c r="Q287" s="541"/>
      <c r="R287" s="544"/>
      <c r="S287" s="544"/>
      <c r="T287" s="544"/>
      <c r="U287" s="544"/>
      <c r="V287" s="544"/>
      <c r="W287" s="544"/>
      <c r="X287" s="541"/>
      <c r="Y287" s="541"/>
      <c r="Z287" s="541"/>
    </row>
    <row r="288" ht="21.0" customHeight="1">
      <c r="A288" s="541"/>
      <c r="B288" s="572"/>
      <c r="C288" s="572"/>
      <c r="D288" s="572"/>
      <c r="E288" s="572"/>
      <c r="F288" s="573"/>
      <c r="G288" s="573"/>
      <c r="H288" s="572"/>
      <c r="I288" s="574"/>
      <c r="J288" s="574"/>
      <c r="K288" s="544"/>
      <c r="L288" s="544"/>
      <c r="M288" s="544"/>
      <c r="N288" s="544"/>
      <c r="O288" s="541"/>
      <c r="P288" s="541"/>
      <c r="Q288" s="541"/>
      <c r="R288" s="544"/>
      <c r="S288" s="544"/>
      <c r="T288" s="544"/>
      <c r="U288" s="544"/>
      <c r="V288" s="544"/>
      <c r="W288" s="544"/>
      <c r="X288" s="541"/>
      <c r="Y288" s="541"/>
      <c r="Z288" s="541"/>
    </row>
    <row r="289" ht="21.0" customHeight="1">
      <c r="A289" s="4"/>
      <c r="B289" s="544"/>
      <c r="C289" s="544"/>
      <c r="D289" s="544"/>
      <c r="E289" s="544"/>
      <c r="F289" s="8"/>
      <c r="G289" s="8"/>
      <c r="H289" s="562"/>
      <c r="I289" s="562"/>
      <c r="J289" s="562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44"/>
      <c r="C290" s="544"/>
      <c r="D290" s="544"/>
      <c r="E290" s="544"/>
      <c r="F290" s="575"/>
      <c r="G290" s="575"/>
      <c r="H290" s="54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2"/>
      <c r="C296" s="576"/>
      <c r="D296" s="576"/>
      <c r="E296" s="576"/>
      <c r="F296" s="577"/>
      <c r="G296" s="577"/>
      <c r="H296" s="562"/>
      <c r="I296" s="562"/>
      <c r="J296" s="562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42"/>
      <c r="C297" s="542"/>
      <c r="D297" s="542"/>
      <c r="E297" s="542"/>
      <c r="F297" s="550"/>
      <c r="G297" s="550"/>
      <c r="H297" s="542"/>
      <c r="I297" s="545"/>
      <c r="J297" s="545"/>
      <c r="K297" s="4"/>
      <c r="L297" s="4"/>
      <c r="M297" s="4"/>
      <c r="N297" s="4"/>
      <c r="O297" s="578"/>
      <c r="P297" s="578"/>
      <c r="Q297" s="578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42"/>
      <c r="C298" s="542"/>
      <c r="D298" s="542"/>
      <c r="E298" s="542"/>
      <c r="F298" s="550"/>
      <c r="G298" s="550"/>
      <c r="H298" s="542"/>
      <c r="I298" s="545"/>
      <c r="J298" s="545"/>
      <c r="K298" s="4"/>
      <c r="L298" s="4"/>
      <c r="M298" s="4"/>
      <c r="N298" s="4"/>
      <c r="O298" s="578"/>
      <c r="P298" s="578"/>
      <c r="Q298" s="578"/>
      <c r="R298" s="4"/>
      <c r="S298" s="4"/>
      <c r="T298" s="4"/>
      <c r="U298" s="4"/>
      <c r="V298" s="4"/>
      <c r="W298" s="4"/>
      <c r="X298" s="572"/>
      <c r="Y298" s="4"/>
      <c r="Z298" s="4"/>
    </row>
    <row r="299" ht="21.0" customHeight="1">
      <c r="A299" s="122"/>
      <c r="B299" s="542"/>
      <c r="C299" s="542"/>
      <c r="D299" s="542"/>
      <c r="E299" s="542"/>
      <c r="F299" s="550"/>
      <c r="G299" s="550"/>
      <c r="H299" s="542"/>
      <c r="I299" s="545"/>
      <c r="J299" s="545"/>
      <c r="K299" s="4"/>
      <c r="L299" s="4"/>
      <c r="M299" s="4"/>
      <c r="N299" s="4"/>
      <c r="O299" s="578"/>
      <c r="P299" s="578"/>
      <c r="Q299" s="578"/>
      <c r="R299" s="4"/>
      <c r="S299" s="4"/>
      <c r="T299" s="4"/>
      <c r="U299" s="4"/>
      <c r="V299" s="4"/>
      <c r="W299" s="4"/>
      <c r="X299" s="572"/>
      <c r="Y299" s="4"/>
      <c r="Z299" s="4"/>
    </row>
    <row r="300" ht="21.0" customHeight="1">
      <c r="A300" s="122"/>
      <c r="B300" s="542"/>
      <c r="C300" s="542"/>
      <c r="D300" s="542"/>
      <c r="E300" s="542"/>
      <c r="F300" s="550"/>
      <c r="G300" s="550"/>
      <c r="H300" s="542"/>
      <c r="I300" s="545"/>
      <c r="J300" s="545"/>
      <c r="K300" s="4"/>
      <c r="L300" s="4"/>
      <c r="M300" s="4"/>
      <c r="N300" s="4"/>
      <c r="O300" s="578"/>
      <c r="P300" s="578"/>
      <c r="Q300" s="578"/>
      <c r="R300" s="4"/>
      <c r="S300" s="4"/>
      <c r="T300" s="4"/>
      <c r="U300" s="4"/>
      <c r="V300" s="4"/>
      <c r="W300" s="4"/>
      <c r="X300" s="572"/>
      <c r="Y300" s="4"/>
      <c r="Z300" s="4"/>
    </row>
    <row r="301" ht="21.0" customHeight="1">
      <c r="A301" s="122"/>
      <c r="B301" s="542"/>
      <c r="C301" s="542"/>
      <c r="D301" s="542"/>
      <c r="E301" s="542"/>
      <c r="F301" s="550"/>
      <c r="G301" s="550"/>
      <c r="H301" s="542"/>
      <c r="I301" s="545"/>
      <c r="J301" s="545"/>
      <c r="K301" s="4"/>
      <c r="L301" s="4"/>
      <c r="M301" s="4"/>
      <c r="N301" s="4"/>
      <c r="O301" s="578"/>
      <c r="P301" s="578"/>
      <c r="Q301" s="578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42"/>
      <c r="C302" s="542"/>
      <c r="D302" s="542"/>
      <c r="E302" s="542"/>
      <c r="F302" s="550"/>
      <c r="G302" s="550"/>
      <c r="H302" s="542"/>
      <c r="I302" s="545"/>
      <c r="J302" s="545"/>
      <c r="K302" s="4"/>
      <c r="L302" s="4"/>
      <c r="M302" s="4"/>
      <c r="N302" s="4"/>
      <c r="O302" s="578"/>
      <c r="P302" s="578"/>
      <c r="Q302" s="578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42"/>
      <c r="C303" s="542"/>
      <c r="D303" s="542"/>
      <c r="E303" s="542"/>
      <c r="F303" s="550"/>
      <c r="G303" s="550"/>
      <c r="H303" s="542"/>
      <c r="I303" s="545"/>
      <c r="J303" s="545"/>
      <c r="K303" s="4"/>
      <c r="L303" s="4"/>
      <c r="M303" s="4"/>
      <c r="N303" s="4"/>
      <c r="O303" s="578"/>
      <c r="P303" s="578"/>
      <c r="Q303" s="578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42"/>
      <c r="C304" s="542"/>
      <c r="D304" s="542"/>
      <c r="E304" s="542"/>
      <c r="F304" s="550"/>
      <c r="G304" s="550"/>
      <c r="H304" s="542"/>
      <c r="I304" s="545"/>
      <c r="J304" s="545"/>
      <c r="K304" s="4"/>
      <c r="L304" s="4"/>
      <c r="M304" s="4"/>
      <c r="N304" s="4"/>
      <c r="O304" s="578"/>
      <c r="P304" s="578"/>
      <c r="Q304" s="578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42"/>
      <c r="C305" s="542"/>
      <c r="D305" s="542"/>
      <c r="E305" s="542"/>
      <c r="F305" s="550"/>
      <c r="G305" s="550"/>
      <c r="H305" s="542"/>
      <c r="I305" s="545"/>
      <c r="J305" s="545"/>
      <c r="K305" s="4"/>
      <c r="L305" s="4"/>
      <c r="M305" s="4"/>
      <c r="N305" s="4"/>
      <c r="O305" s="578"/>
      <c r="P305" s="578"/>
      <c r="Q305" s="578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42"/>
      <c r="C306" s="542"/>
      <c r="D306" s="542"/>
      <c r="E306" s="542"/>
      <c r="F306" s="550"/>
      <c r="G306" s="550"/>
      <c r="H306" s="542"/>
      <c r="I306" s="545"/>
      <c r="J306" s="54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9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77"/>
      <c r="G307" s="577"/>
      <c r="H307" s="4"/>
      <c r="I307" s="580"/>
      <c r="J307" s="58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9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9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9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9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9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9"/>
      <c r="X312" s="4"/>
      <c r="Y312" s="4"/>
      <c r="Z312" s="4"/>
    </row>
    <row r="313" ht="21.0" customHeight="1">
      <c r="A313" s="4"/>
      <c r="B313" s="562"/>
      <c r="C313" s="576"/>
      <c r="D313" s="576"/>
      <c r="E313" s="576"/>
      <c r="F313" s="577"/>
      <c r="G313" s="577"/>
      <c r="H313" s="562"/>
      <c r="I313" s="562"/>
      <c r="J313" s="562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9"/>
      <c r="X313" s="4"/>
      <c r="Y313" s="4"/>
      <c r="Z313" s="4"/>
    </row>
    <row r="314" ht="21.0" customHeight="1">
      <c r="A314" s="122"/>
      <c r="B314" s="581"/>
      <c r="C314" s="580"/>
      <c r="D314" s="580"/>
      <c r="E314" s="580"/>
      <c r="F314" s="582"/>
      <c r="G314" s="582"/>
      <c r="H314" s="580"/>
      <c r="I314" s="580"/>
      <c r="J314" s="58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9"/>
      <c r="X314" s="4"/>
      <c r="Y314" s="4"/>
      <c r="Z314" s="4"/>
    </row>
    <row r="315" ht="21.0" customHeight="1">
      <c r="A315" s="122"/>
      <c r="B315" s="581"/>
      <c r="C315" s="580"/>
      <c r="D315" s="580"/>
      <c r="E315" s="580"/>
      <c r="F315" s="582"/>
      <c r="G315" s="582"/>
      <c r="H315" s="580"/>
      <c r="I315" s="580"/>
      <c r="J315" s="58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9"/>
      <c r="X315" s="4"/>
      <c r="Y315" s="4"/>
      <c r="Z315" s="4"/>
    </row>
    <row r="316" ht="21.0" customHeight="1">
      <c r="A316" s="122"/>
      <c r="B316" s="581"/>
      <c r="C316" s="580"/>
      <c r="D316" s="580"/>
      <c r="E316" s="580"/>
      <c r="F316" s="582"/>
      <c r="G316" s="582"/>
      <c r="H316" s="580"/>
      <c r="I316" s="580"/>
      <c r="J316" s="58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9"/>
      <c r="X316" s="4"/>
      <c r="Y316" s="4"/>
      <c r="Z316" s="4"/>
    </row>
    <row r="317" ht="21.0" customHeight="1">
      <c r="A317" s="122"/>
      <c r="B317" s="581"/>
      <c r="C317" s="580"/>
      <c r="D317" s="580"/>
      <c r="E317" s="580"/>
      <c r="F317" s="583"/>
      <c r="G317" s="583"/>
      <c r="H317" s="580"/>
      <c r="I317" s="580"/>
      <c r="J317" s="58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1"/>
      <c r="C318" s="580"/>
      <c r="D318" s="580"/>
      <c r="E318" s="580"/>
      <c r="F318" s="583"/>
      <c r="G318" s="583"/>
      <c r="H318" s="580"/>
      <c r="I318" s="580"/>
      <c r="J318" s="58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9"/>
      <c r="X318" s="4"/>
      <c r="Y318" s="4"/>
      <c r="Z318" s="4"/>
    </row>
    <row r="319" ht="21.0" customHeight="1">
      <c r="A319" s="122"/>
      <c r="B319" s="581"/>
      <c r="C319" s="2"/>
      <c r="D319" s="580"/>
      <c r="E319" s="580"/>
      <c r="F319" s="583"/>
      <c r="G319" s="583"/>
      <c r="H319" s="580"/>
      <c r="I319" s="580"/>
      <c r="J319" s="58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9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7"/>
      <c r="G320" s="577"/>
      <c r="H320" s="4"/>
      <c r="I320" s="580"/>
      <c r="J320" s="58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9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9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9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9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9"/>
      <c r="X324" s="4"/>
      <c r="Y324" s="4"/>
      <c r="Z324" s="4"/>
    </row>
    <row r="325" ht="21.0" customHeight="1">
      <c r="A325" s="66"/>
      <c r="B325" s="584"/>
      <c r="C325" s="584"/>
      <c r="D325" s="584"/>
      <c r="E325" s="584"/>
      <c r="F325" s="585"/>
      <c r="G325" s="585"/>
      <c r="H325" s="584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9"/>
      <c r="X325" s="66"/>
      <c r="Y325" s="66"/>
      <c r="Z325" s="66"/>
    </row>
    <row r="326" ht="21.0" customHeight="1">
      <c r="A326" s="562"/>
      <c r="B326" s="562"/>
      <c r="C326" s="562"/>
      <c r="D326" s="562"/>
      <c r="E326" s="562"/>
      <c r="F326" s="586"/>
      <c r="G326" s="586"/>
      <c r="H326" s="562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9"/>
      <c r="X326" s="4"/>
      <c r="Y326" s="4"/>
      <c r="Z326" s="4"/>
    </row>
    <row r="327" ht="21.0" customHeight="1">
      <c r="A327" s="562"/>
      <c r="B327" s="562"/>
      <c r="C327" s="587"/>
      <c r="D327" s="588"/>
      <c r="E327" s="588"/>
      <c r="F327" s="132"/>
      <c r="G327" s="132"/>
      <c r="H327" s="588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9"/>
      <c r="X327" s="4"/>
      <c r="Y327" s="4"/>
      <c r="Z327" s="4"/>
    </row>
    <row r="328" ht="21.0" customHeight="1">
      <c r="A328" s="562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9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6">
        <f>+D326+E326+F326+H326</f>
        <v>0</v>
      </c>
      <c r="G329" s="577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4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4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9" t="s">
        <v>159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</row>
    <row r="2" ht="13.5" customHeight="1">
      <c r="A2" s="589" t="s">
        <v>160</v>
      </c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</row>
    <row r="3" ht="13.5" customHeight="1">
      <c r="A3" s="591" t="s">
        <v>161</v>
      </c>
      <c r="B3" s="590"/>
      <c r="C3" s="592" t="s">
        <v>162</v>
      </c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</row>
    <row r="4" ht="12.75" customHeight="1">
      <c r="A4" s="591" t="e">
        <v>#N/A</v>
      </c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</row>
    <row r="5" ht="12.75" customHeight="1">
      <c r="A5" s="590"/>
      <c r="B5" s="590"/>
      <c r="C5" s="590"/>
      <c r="D5" s="590"/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</row>
    <row r="6" ht="13.5" customHeight="1">
      <c r="A6" s="590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</row>
    <row r="7" ht="12.75" customHeight="1">
      <c r="A7" s="593" t="s">
        <v>163</v>
      </c>
      <c r="B7" s="590"/>
      <c r="C7" s="590"/>
      <c r="D7" s="590"/>
      <c r="E7" s="590"/>
      <c r="F7" s="590"/>
      <c r="G7" s="590"/>
      <c r="H7" s="590"/>
      <c r="I7" s="590"/>
      <c r="J7" s="590"/>
      <c r="K7" s="590"/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</row>
    <row r="8" ht="12.75" customHeight="1">
      <c r="A8" s="594" t="s">
        <v>164</v>
      </c>
      <c r="B8" s="590"/>
      <c r="C8" s="590"/>
      <c r="D8" s="590"/>
      <c r="E8" s="590"/>
      <c r="F8" s="590"/>
      <c r="G8" s="590"/>
      <c r="H8" s="590"/>
      <c r="I8" s="590"/>
      <c r="J8" s="590"/>
      <c r="K8" s="590"/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</row>
    <row r="9" ht="12.75" customHeight="1">
      <c r="A9" s="595" t="s">
        <v>165</v>
      </c>
      <c r="B9" s="590"/>
      <c r="C9" s="590"/>
      <c r="D9" s="590"/>
      <c r="E9" s="590"/>
      <c r="F9" s="590"/>
      <c r="G9" s="590"/>
      <c r="H9" s="590"/>
      <c r="I9" s="590"/>
      <c r="J9" s="590"/>
      <c r="K9" s="590"/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</row>
    <row r="10" ht="12.75" customHeight="1">
      <c r="A10" s="594" t="s">
        <v>166</v>
      </c>
      <c r="B10" s="590"/>
      <c r="C10" s="590"/>
      <c r="D10" s="590"/>
      <c r="E10" s="590"/>
      <c r="F10" s="590"/>
      <c r="G10" s="590"/>
      <c r="H10" s="590"/>
      <c r="I10" s="590"/>
      <c r="J10" s="590"/>
      <c r="K10" s="590"/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</row>
    <row r="11" ht="13.5" customHeight="1">
      <c r="A11" s="596" t="s">
        <v>167</v>
      </c>
      <c r="B11" s="590"/>
      <c r="C11" s="590"/>
      <c r="D11" s="590"/>
      <c r="E11" s="590"/>
      <c r="F11" s="590"/>
      <c r="G11" s="590"/>
      <c r="H11" s="590"/>
      <c r="I11" s="590"/>
      <c r="J11" s="590"/>
      <c r="K11" s="590"/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</row>
    <row r="12" ht="12.75" customHeight="1">
      <c r="A12" s="590"/>
      <c r="B12" s="590"/>
      <c r="C12" s="590"/>
      <c r="D12" s="590"/>
      <c r="E12" s="590"/>
      <c r="F12" s="590"/>
      <c r="G12" s="590"/>
      <c r="H12" s="590"/>
      <c r="I12" s="590"/>
      <c r="J12" s="590"/>
      <c r="K12" s="590"/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</row>
    <row r="13" ht="13.5" customHeight="1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</row>
    <row r="14" ht="13.5" customHeight="1">
      <c r="A14" s="592" t="s">
        <v>168</v>
      </c>
      <c r="B14" s="590"/>
      <c r="C14" s="590"/>
      <c r="D14" s="590"/>
      <c r="E14" s="590"/>
      <c r="F14" s="590"/>
      <c r="G14" s="590"/>
      <c r="H14" s="590"/>
      <c r="I14" s="590"/>
      <c r="J14" s="590"/>
      <c r="K14" s="590"/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</row>
    <row r="15" ht="12.75" customHeight="1">
      <c r="A15" s="590"/>
      <c r="B15" s="590"/>
      <c r="C15" s="590"/>
      <c r="D15" s="590"/>
      <c r="E15" s="590"/>
      <c r="F15" s="590"/>
      <c r="G15" s="590"/>
      <c r="H15" s="590"/>
      <c r="I15" s="590"/>
      <c r="J15" s="590"/>
      <c r="K15" s="590"/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</row>
    <row r="16" ht="13.5" customHeight="1">
      <c r="A16" s="590"/>
      <c r="B16" s="590"/>
      <c r="C16" s="590"/>
      <c r="D16" s="590"/>
      <c r="E16" s="590"/>
      <c r="F16" s="590"/>
      <c r="G16" s="590"/>
      <c r="H16" s="590"/>
      <c r="I16" s="590"/>
      <c r="J16" s="590"/>
      <c r="K16" s="590"/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</row>
    <row r="17" ht="13.5" customHeight="1">
      <c r="A17" s="590"/>
      <c r="B17" s="590"/>
      <c r="C17" s="592" t="s">
        <v>169</v>
      </c>
      <c r="D17" s="590"/>
      <c r="E17" s="590"/>
      <c r="F17" s="590"/>
      <c r="G17" s="590"/>
      <c r="H17" s="590"/>
      <c r="I17" s="590"/>
      <c r="J17" s="590"/>
      <c r="K17" s="590"/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</row>
    <row r="18" ht="12.75" customHeight="1">
      <c r="A18" s="590"/>
      <c r="B18" s="590"/>
      <c r="C18" s="590"/>
      <c r="D18" s="590"/>
      <c r="E18" s="590"/>
      <c r="F18" s="590"/>
      <c r="G18" s="590"/>
      <c r="H18" s="590"/>
      <c r="I18" s="590"/>
      <c r="J18" s="590"/>
      <c r="K18" s="590"/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</row>
    <row r="19" ht="12.75" customHeight="1">
      <c r="A19" s="590"/>
      <c r="B19" s="590"/>
      <c r="C19" s="590"/>
      <c r="D19" s="590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</row>
    <row r="20" ht="12.75" customHeight="1">
      <c r="A20" s="597" t="s">
        <v>170</v>
      </c>
      <c r="B20" s="590"/>
      <c r="C20" s="590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</row>
    <row r="21" ht="12.75" customHeight="1">
      <c r="A21" s="590"/>
      <c r="B21" s="590"/>
      <c r="C21" s="590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</row>
    <row r="22" ht="12.75" customHeight="1">
      <c r="A22" s="590"/>
      <c r="B22" s="590"/>
      <c r="C22" s="590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</row>
    <row r="23" ht="12.75" customHeight="1">
      <c r="A23" s="590"/>
      <c r="B23" s="590"/>
      <c r="C23" s="590"/>
      <c r="D23" s="590"/>
      <c r="E23" s="590"/>
      <c r="F23" s="590"/>
      <c r="G23" s="590"/>
      <c r="H23" s="590"/>
      <c r="I23" s="590"/>
      <c r="J23" s="590"/>
      <c r="K23" s="590"/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</row>
    <row r="24" ht="12.75" customHeight="1">
      <c r="A24" s="590"/>
      <c r="B24" s="590"/>
      <c r="C24" s="590"/>
      <c r="D24" s="590"/>
      <c r="E24" s="590"/>
      <c r="F24" s="590"/>
      <c r="G24" s="590"/>
      <c r="H24" s="590"/>
      <c r="I24" s="590"/>
      <c r="J24" s="590"/>
      <c r="K24" s="590"/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</row>
    <row r="25" ht="12.75" customHeight="1">
      <c r="A25" s="590"/>
      <c r="B25" s="590"/>
      <c r="C25" s="590"/>
      <c r="D25" s="590"/>
      <c r="E25" s="590"/>
      <c r="F25" s="590"/>
      <c r="G25" s="590"/>
      <c r="H25" s="590"/>
      <c r="I25" s="590"/>
      <c r="J25" s="590"/>
      <c r="K25" s="590"/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</row>
    <row r="26" ht="13.5" customHeight="1">
      <c r="A26" s="590"/>
      <c r="B26" s="590"/>
      <c r="C26" s="598" t="s">
        <v>171</v>
      </c>
      <c r="D26" s="590"/>
      <c r="E26" s="590"/>
      <c r="F26" s="590"/>
      <c r="G26" s="590"/>
      <c r="H26" s="590"/>
      <c r="I26" s="590"/>
      <c r="J26" s="590"/>
      <c r="K26" s="590"/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</row>
    <row r="27" ht="12.75" customHeight="1">
      <c r="A27" s="590"/>
      <c r="B27" s="590"/>
      <c r="C27" s="590"/>
      <c r="D27" s="590"/>
      <c r="E27" s="590"/>
      <c r="F27" s="590"/>
      <c r="G27" s="590"/>
      <c r="H27" s="590"/>
      <c r="I27" s="590"/>
      <c r="J27" s="590"/>
      <c r="K27" s="590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</row>
    <row r="28" ht="12.75" customHeight="1">
      <c r="A28" s="590"/>
      <c r="B28" s="590"/>
      <c r="C28" s="590"/>
      <c r="D28" s="590"/>
      <c r="E28" s="590"/>
      <c r="F28" s="590"/>
      <c r="G28" s="590"/>
      <c r="H28" s="590"/>
      <c r="I28" s="590"/>
      <c r="J28" s="590"/>
      <c r="K28" s="590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</row>
    <row r="29" ht="12.75" customHeight="1">
      <c r="A29" s="590"/>
      <c r="B29" s="590"/>
      <c r="C29" s="590"/>
      <c r="D29" s="590"/>
      <c r="E29" s="590"/>
      <c r="F29" s="590"/>
      <c r="G29" s="590"/>
      <c r="H29" s="590"/>
      <c r="I29" s="590"/>
      <c r="J29" s="590"/>
      <c r="K29" s="590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</row>
    <row r="30" ht="12.75" customHeight="1">
      <c r="A30" s="590"/>
      <c r="B30" s="590"/>
      <c r="C30" s="590"/>
      <c r="D30" s="590"/>
      <c r="E30" s="590"/>
      <c r="F30" s="590"/>
      <c r="G30" s="590"/>
      <c r="H30" s="590"/>
      <c r="I30" s="590"/>
      <c r="J30" s="590"/>
      <c r="K30" s="590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</row>
    <row r="31" ht="12.75" customHeight="1">
      <c r="A31" s="590"/>
      <c r="B31" s="590"/>
      <c r="C31" s="590"/>
      <c r="D31" s="590"/>
      <c r="E31" s="590"/>
      <c r="F31" s="590"/>
      <c r="G31" s="590"/>
      <c r="H31" s="590"/>
      <c r="I31" s="590"/>
      <c r="J31" s="590"/>
      <c r="K31" s="590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</row>
    <row r="32" ht="12.75" customHeight="1">
      <c r="A32" s="590"/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</row>
    <row r="33" ht="12.7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</row>
    <row r="34" ht="12.7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</row>
    <row r="35" ht="12.7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</row>
    <row r="36" ht="12.7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</row>
    <row r="37" ht="12.75" customHeight="1">
      <c r="A37" s="590"/>
      <c r="B37" s="590"/>
      <c r="C37" s="590"/>
      <c r="D37" s="590"/>
      <c r="E37" s="590"/>
      <c r="F37" s="590"/>
      <c r="G37" s="590"/>
      <c r="H37" s="590"/>
      <c r="I37" s="590"/>
      <c r="J37" s="590"/>
      <c r="K37" s="590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</row>
    <row r="38" ht="12.75" customHeight="1">
      <c r="A38" s="590"/>
      <c r="B38" s="590"/>
      <c r="C38" s="590"/>
      <c r="D38" s="590"/>
      <c r="E38" s="590"/>
      <c r="F38" s="590"/>
      <c r="G38" s="590"/>
      <c r="H38" s="590"/>
      <c r="I38" s="590"/>
      <c r="J38" s="590"/>
      <c r="K38" s="590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</row>
    <row r="39" ht="12.75" customHeight="1">
      <c r="A39" s="590"/>
      <c r="B39" s="590"/>
      <c r="C39" s="590"/>
      <c r="D39" s="590"/>
      <c r="E39" s="590"/>
      <c r="F39" s="590"/>
      <c r="G39" s="590"/>
      <c r="H39" s="590"/>
      <c r="I39" s="590"/>
      <c r="J39" s="590"/>
      <c r="K39" s="590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</row>
    <row r="40" ht="12.75" customHeight="1">
      <c r="A40" s="590"/>
      <c r="B40" s="590"/>
      <c r="C40" s="590"/>
      <c r="D40" s="590"/>
      <c r="E40" s="590"/>
      <c r="F40" s="590"/>
      <c r="G40" s="590"/>
      <c r="H40" s="590"/>
      <c r="I40" s="590"/>
      <c r="J40" s="590"/>
      <c r="K40" s="590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</row>
    <row r="41" ht="12.75" customHeight="1">
      <c r="A41" s="590"/>
      <c r="B41" s="590"/>
      <c r="C41" s="590"/>
      <c r="D41" s="590"/>
      <c r="E41" s="590"/>
      <c r="F41" s="590"/>
      <c r="G41" s="590"/>
      <c r="H41" s="590"/>
      <c r="I41" s="590"/>
      <c r="J41" s="590"/>
      <c r="K41" s="590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</row>
    <row r="42" ht="12.75" customHeight="1">
      <c r="A42" s="590"/>
      <c r="B42" s="590"/>
      <c r="C42" s="590"/>
      <c r="D42" s="590"/>
      <c r="E42" s="590"/>
      <c r="F42" s="590"/>
      <c r="G42" s="590"/>
      <c r="H42" s="590"/>
      <c r="I42" s="590"/>
      <c r="J42" s="590"/>
      <c r="K42" s="590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</row>
    <row r="43" ht="12.75" customHeight="1">
      <c r="A43" s="590"/>
      <c r="B43" s="590"/>
      <c r="C43" s="590"/>
      <c r="D43" s="590"/>
      <c r="E43" s="590"/>
      <c r="F43" s="590"/>
      <c r="G43" s="590"/>
      <c r="H43" s="590"/>
      <c r="I43" s="590"/>
      <c r="J43" s="590"/>
      <c r="K43" s="590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</row>
    <row r="44" ht="12.75" customHeight="1">
      <c r="A44" s="590"/>
      <c r="B44" s="590"/>
      <c r="C44" s="590"/>
      <c r="D44" s="590"/>
      <c r="E44" s="590"/>
      <c r="F44" s="590"/>
      <c r="G44" s="590"/>
      <c r="H44" s="590"/>
      <c r="I44" s="590"/>
      <c r="J44" s="590"/>
      <c r="K44" s="590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</row>
    <row r="45" ht="12.75" customHeight="1">
      <c r="A45" s="590"/>
      <c r="B45" s="590"/>
      <c r="C45" s="590"/>
      <c r="D45" s="590"/>
      <c r="E45" s="590"/>
      <c r="F45" s="590"/>
      <c r="G45" s="590"/>
      <c r="H45" s="590"/>
      <c r="I45" s="590"/>
      <c r="J45" s="590"/>
      <c r="K45" s="590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</row>
    <row r="46" ht="12.75" customHeight="1">
      <c r="A46" s="590"/>
      <c r="B46" s="590"/>
      <c r="C46" s="590"/>
      <c r="D46" s="590"/>
      <c r="E46" s="590"/>
      <c r="F46" s="590"/>
      <c r="G46" s="590"/>
      <c r="H46" s="590"/>
      <c r="I46" s="590"/>
      <c r="J46" s="590"/>
      <c r="K46" s="590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</row>
    <row r="47" ht="12.75" customHeight="1">
      <c r="A47" s="590"/>
      <c r="B47" s="590"/>
      <c r="C47" s="590"/>
      <c r="D47" s="590"/>
      <c r="E47" s="590"/>
      <c r="F47" s="590"/>
      <c r="G47" s="590"/>
      <c r="H47" s="590"/>
      <c r="I47" s="590"/>
      <c r="J47" s="590"/>
      <c r="K47" s="590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</row>
    <row r="48" ht="12.75" customHeight="1">
      <c r="A48" s="590"/>
      <c r="B48" s="590"/>
      <c r="C48" s="590"/>
      <c r="D48" s="590"/>
      <c r="E48" s="590"/>
      <c r="F48" s="590"/>
      <c r="G48" s="590"/>
      <c r="H48" s="590"/>
      <c r="I48" s="590"/>
      <c r="J48" s="590"/>
      <c r="K48" s="590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</row>
    <row r="49" ht="12.75" customHeight="1">
      <c r="A49" s="590"/>
      <c r="B49" s="590"/>
      <c r="C49" s="590"/>
      <c r="D49" s="590"/>
      <c r="E49" s="590"/>
      <c r="F49" s="590"/>
      <c r="G49" s="590"/>
      <c r="H49" s="590"/>
      <c r="I49" s="590"/>
      <c r="J49" s="590"/>
      <c r="K49" s="590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</row>
    <row r="50" ht="12.75" customHeight="1">
      <c r="A50" s="590"/>
      <c r="B50" s="590"/>
      <c r="C50" s="590"/>
      <c r="D50" s="590"/>
      <c r="E50" s="590"/>
      <c r="F50" s="590"/>
      <c r="G50" s="590"/>
      <c r="H50" s="590"/>
      <c r="I50" s="590"/>
      <c r="J50" s="590"/>
      <c r="K50" s="590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</row>
    <row r="51" ht="12.75" customHeight="1">
      <c r="A51" s="590"/>
      <c r="B51" s="590"/>
      <c r="C51" s="590"/>
      <c r="D51" s="590"/>
      <c r="E51" s="590"/>
      <c r="F51" s="590"/>
      <c r="G51" s="590"/>
      <c r="H51" s="590"/>
      <c r="I51" s="590"/>
      <c r="J51" s="590"/>
      <c r="K51" s="590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</row>
    <row r="52" ht="12.75" customHeight="1">
      <c r="A52" s="590"/>
      <c r="B52" s="590"/>
      <c r="C52" s="590"/>
      <c r="D52" s="590"/>
      <c r="E52" s="590"/>
      <c r="F52" s="590"/>
      <c r="G52" s="590"/>
      <c r="H52" s="590"/>
      <c r="I52" s="590"/>
      <c r="J52" s="590"/>
      <c r="K52" s="590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</row>
    <row r="53" ht="12.75" customHeight="1">
      <c r="A53" s="590"/>
      <c r="B53" s="590"/>
      <c r="C53" s="590"/>
      <c r="D53" s="590"/>
      <c r="E53" s="590"/>
      <c r="F53" s="590"/>
      <c r="G53" s="590"/>
      <c r="H53" s="590"/>
      <c r="I53" s="590"/>
      <c r="J53" s="590"/>
      <c r="K53" s="590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</row>
    <row r="54" ht="12.75" customHeight="1">
      <c r="A54" s="590"/>
      <c r="B54" s="590"/>
      <c r="C54" s="590"/>
      <c r="D54" s="590"/>
      <c r="E54" s="590"/>
      <c r="F54" s="590"/>
      <c r="G54" s="590"/>
      <c r="H54" s="590"/>
      <c r="I54" s="590"/>
      <c r="J54" s="590"/>
      <c r="K54" s="590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</row>
    <row r="55" ht="12.75" customHeight="1">
      <c r="A55" s="590"/>
      <c r="B55" s="590"/>
      <c r="C55" s="590"/>
      <c r="D55" s="590"/>
      <c r="E55" s="590"/>
      <c r="F55" s="590"/>
      <c r="G55" s="590"/>
      <c r="H55" s="590"/>
      <c r="I55" s="590"/>
      <c r="J55" s="590"/>
      <c r="K55" s="590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</row>
    <row r="56" ht="12.75" customHeight="1">
      <c r="A56" s="590"/>
      <c r="B56" s="590"/>
      <c r="C56" s="590"/>
      <c r="D56" s="590"/>
      <c r="E56" s="590"/>
      <c r="F56" s="590"/>
      <c r="G56" s="590"/>
      <c r="H56" s="590"/>
      <c r="I56" s="590"/>
      <c r="J56" s="590"/>
      <c r="K56" s="590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</row>
    <row r="57" ht="12.75" customHeight="1">
      <c r="A57" s="590"/>
      <c r="B57" s="590"/>
      <c r="C57" s="590"/>
      <c r="D57" s="590"/>
      <c r="E57" s="590"/>
      <c r="F57" s="590"/>
      <c r="G57" s="590"/>
      <c r="H57" s="590"/>
      <c r="I57" s="590"/>
      <c r="J57" s="590"/>
      <c r="K57" s="590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</row>
    <row r="58" ht="12.75" customHeight="1">
      <c r="A58" s="590"/>
      <c r="B58" s="590"/>
      <c r="C58" s="590"/>
      <c r="D58" s="590"/>
      <c r="E58" s="590"/>
      <c r="F58" s="590"/>
      <c r="G58" s="590"/>
      <c r="H58" s="590"/>
      <c r="I58" s="590"/>
      <c r="J58" s="590"/>
      <c r="K58" s="590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</row>
    <row r="59" ht="12.75" customHeight="1">
      <c r="A59" s="590"/>
      <c r="B59" s="590"/>
      <c r="C59" s="590"/>
      <c r="D59" s="590"/>
      <c r="E59" s="590"/>
      <c r="F59" s="590"/>
      <c r="G59" s="590"/>
      <c r="H59" s="590"/>
      <c r="I59" s="590"/>
      <c r="J59" s="590"/>
      <c r="K59" s="590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</row>
    <row r="60" ht="12.75" customHeight="1">
      <c r="A60" s="590"/>
      <c r="B60" s="590"/>
      <c r="C60" s="590"/>
      <c r="D60" s="590"/>
      <c r="E60" s="590"/>
      <c r="F60" s="590"/>
      <c r="G60" s="590"/>
      <c r="H60" s="590"/>
      <c r="I60" s="590"/>
      <c r="J60" s="590"/>
      <c r="K60" s="590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</row>
    <row r="61" ht="12.75" customHeight="1">
      <c r="A61" s="590"/>
      <c r="B61" s="590"/>
      <c r="C61" s="590"/>
      <c r="D61" s="590"/>
      <c r="E61" s="590"/>
      <c r="F61" s="590"/>
      <c r="G61" s="590"/>
      <c r="H61" s="590"/>
      <c r="I61" s="590"/>
      <c r="J61" s="590"/>
      <c r="K61" s="590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</row>
    <row r="62" ht="12.75" customHeight="1">
      <c r="A62" s="590"/>
      <c r="B62" s="590"/>
      <c r="C62" s="590"/>
      <c r="D62" s="590"/>
      <c r="E62" s="590"/>
      <c r="F62" s="590"/>
      <c r="G62" s="590"/>
      <c r="H62" s="590"/>
      <c r="I62" s="590"/>
      <c r="J62" s="590"/>
      <c r="K62" s="590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</row>
    <row r="63" ht="12.75" customHeight="1">
      <c r="A63" s="590"/>
      <c r="B63" s="590"/>
      <c r="C63" s="590"/>
      <c r="D63" s="590"/>
      <c r="E63" s="590"/>
      <c r="F63" s="590"/>
      <c r="G63" s="590"/>
      <c r="H63" s="590"/>
      <c r="I63" s="590"/>
      <c r="J63" s="590"/>
      <c r="K63" s="590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</row>
    <row r="64" ht="12.75" customHeight="1">
      <c r="A64" s="590"/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</row>
    <row r="65" ht="12.75" customHeight="1">
      <c r="A65" s="590"/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</row>
    <row r="66" ht="12.75" customHeight="1">
      <c r="A66" s="590"/>
      <c r="B66" s="590"/>
      <c r="C66" s="590"/>
      <c r="D66" s="590"/>
      <c r="E66" s="590"/>
      <c r="F66" s="590"/>
      <c r="G66" s="590"/>
      <c r="H66" s="590"/>
      <c r="I66" s="590"/>
      <c r="J66" s="590"/>
      <c r="K66" s="590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</row>
    <row r="67" ht="12.75" customHeight="1">
      <c r="A67" s="590"/>
      <c r="B67" s="590"/>
      <c r="C67" s="590"/>
      <c r="D67" s="590"/>
      <c r="E67" s="590"/>
      <c r="F67" s="590"/>
      <c r="G67" s="590"/>
      <c r="H67" s="590"/>
      <c r="I67" s="590"/>
      <c r="J67" s="590"/>
      <c r="K67" s="590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</row>
    <row r="68" ht="12.75" customHeight="1">
      <c r="A68" s="590"/>
      <c r="B68" s="590"/>
      <c r="C68" s="590"/>
      <c r="D68" s="590"/>
      <c r="E68" s="590"/>
      <c r="F68" s="590"/>
      <c r="G68" s="590"/>
      <c r="H68" s="590"/>
      <c r="I68" s="590"/>
      <c r="J68" s="590"/>
      <c r="K68" s="590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</row>
    <row r="69" ht="12.75" customHeight="1">
      <c r="A69" s="590"/>
      <c r="B69" s="590"/>
      <c r="C69" s="590"/>
      <c r="D69" s="590"/>
      <c r="E69" s="590"/>
      <c r="F69" s="590"/>
      <c r="G69" s="590"/>
      <c r="H69" s="590"/>
      <c r="I69" s="590"/>
      <c r="J69" s="590"/>
      <c r="K69" s="590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</row>
    <row r="70" ht="12.75" customHeight="1">
      <c r="A70" s="590"/>
      <c r="B70" s="590"/>
      <c r="C70" s="590"/>
      <c r="D70" s="590"/>
      <c r="E70" s="590"/>
      <c r="F70" s="590"/>
      <c r="G70" s="590"/>
      <c r="H70" s="590"/>
      <c r="I70" s="590"/>
      <c r="J70" s="590"/>
      <c r="K70" s="590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</row>
    <row r="71" ht="12.75" customHeight="1">
      <c r="A71" s="590"/>
      <c r="B71" s="590"/>
      <c r="C71" s="590"/>
      <c r="D71" s="590"/>
      <c r="E71" s="590"/>
      <c r="F71" s="590"/>
      <c r="G71" s="590"/>
      <c r="H71" s="590"/>
      <c r="I71" s="590"/>
      <c r="J71" s="590"/>
      <c r="K71" s="590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</row>
    <row r="72" ht="12.75" customHeight="1">
      <c r="A72" s="590"/>
      <c r="B72" s="590"/>
      <c r="C72" s="590"/>
      <c r="D72" s="590"/>
      <c r="E72" s="590"/>
      <c r="F72" s="590"/>
      <c r="G72" s="590"/>
      <c r="H72" s="590"/>
      <c r="I72" s="590"/>
      <c r="J72" s="590"/>
      <c r="K72" s="590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</row>
    <row r="73" ht="12.75" customHeight="1">
      <c r="A73" s="590"/>
      <c r="B73" s="590"/>
      <c r="C73" s="590"/>
      <c r="D73" s="590"/>
      <c r="E73" s="590"/>
      <c r="F73" s="590"/>
      <c r="G73" s="590"/>
      <c r="H73" s="590"/>
      <c r="I73" s="590"/>
      <c r="J73" s="590"/>
      <c r="K73" s="590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</row>
    <row r="74" ht="12.75" customHeight="1">
      <c r="A74" s="590"/>
      <c r="B74" s="590"/>
      <c r="C74" s="590"/>
      <c r="D74" s="590"/>
      <c r="E74" s="590"/>
      <c r="F74" s="590"/>
      <c r="G74" s="590"/>
      <c r="H74" s="590"/>
      <c r="I74" s="590"/>
      <c r="J74" s="590"/>
      <c r="K74" s="590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</row>
    <row r="75" ht="12.75" customHeight="1">
      <c r="A75" s="590"/>
      <c r="B75" s="590"/>
      <c r="C75" s="590"/>
      <c r="D75" s="590"/>
      <c r="E75" s="590"/>
      <c r="F75" s="590"/>
      <c r="G75" s="590"/>
      <c r="H75" s="590"/>
      <c r="I75" s="590"/>
      <c r="J75" s="590"/>
      <c r="K75" s="590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</row>
    <row r="76" ht="12.75" customHeight="1">
      <c r="A76" s="590"/>
      <c r="B76" s="590"/>
      <c r="C76" s="590"/>
      <c r="D76" s="590"/>
      <c r="E76" s="590"/>
      <c r="F76" s="590"/>
      <c r="G76" s="590"/>
      <c r="H76" s="590"/>
      <c r="I76" s="590"/>
      <c r="J76" s="590"/>
      <c r="K76" s="590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</row>
    <row r="77" ht="12.75" customHeight="1">
      <c r="A77" s="590"/>
      <c r="B77" s="590"/>
      <c r="C77" s="590"/>
      <c r="D77" s="590"/>
      <c r="E77" s="590"/>
      <c r="F77" s="590"/>
      <c r="G77" s="590"/>
      <c r="H77" s="590"/>
      <c r="I77" s="590"/>
      <c r="J77" s="590"/>
      <c r="K77" s="590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</row>
    <row r="78" ht="12.75" customHeight="1">
      <c r="A78" s="590"/>
      <c r="B78" s="590"/>
      <c r="C78" s="590"/>
      <c r="D78" s="590"/>
      <c r="E78" s="590"/>
      <c r="F78" s="590"/>
      <c r="G78" s="590"/>
      <c r="H78" s="590"/>
      <c r="I78" s="590"/>
      <c r="J78" s="590"/>
      <c r="K78" s="590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</row>
    <row r="79" ht="12.75" customHeight="1">
      <c r="A79" s="590"/>
      <c r="B79" s="590"/>
      <c r="C79" s="590"/>
      <c r="D79" s="590"/>
      <c r="E79" s="590"/>
      <c r="F79" s="590"/>
      <c r="G79" s="590"/>
      <c r="H79" s="590"/>
      <c r="I79" s="590"/>
      <c r="J79" s="590"/>
      <c r="K79" s="590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</row>
    <row r="80" ht="12.75" customHeight="1">
      <c r="A80" s="590"/>
      <c r="B80" s="590"/>
      <c r="C80" s="590"/>
      <c r="D80" s="590"/>
      <c r="E80" s="590"/>
      <c r="F80" s="590"/>
      <c r="G80" s="590"/>
      <c r="H80" s="590"/>
      <c r="I80" s="590"/>
      <c r="J80" s="590"/>
      <c r="K80" s="590"/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</row>
    <row r="81" ht="12.75" customHeight="1">
      <c r="A81" s="590"/>
      <c r="B81" s="590"/>
      <c r="C81" s="590"/>
      <c r="D81" s="590"/>
      <c r="E81" s="590"/>
      <c r="F81" s="590"/>
      <c r="G81" s="590"/>
      <c r="H81" s="590"/>
      <c r="I81" s="590"/>
      <c r="J81" s="590"/>
      <c r="K81" s="590"/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</row>
    <row r="82" ht="12.75" customHeight="1">
      <c r="A82" s="590"/>
      <c r="B82" s="590"/>
      <c r="C82" s="590"/>
      <c r="D82" s="590"/>
      <c r="E82" s="590"/>
      <c r="F82" s="590"/>
      <c r="G82" s="590"/>
      <c r="H82" s="590"/>
      <c r="I82" s="590"/>
      <c r="J82" s="590"/>
      <c r="K82" s="590"/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</row>
    <row r="83" ht="12.75" customHeight="1">
      <c r="A83" s="590"/>
      <c r="B83" s="590"/>
      <c r="C83" s="590"/>
      <c r="D83" s="590"/>
      <c r="E83" s="590"/>
      <c r="F83" s="590"/>
      <c r="G83" s="590"/>
      <c r="H83" s="590"/>
      <c r="I83" s="590"/>
      <c r="J83" s="590"/>
      <c r="K83" s="590"/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</row>
    <row r="84" ht="12.75" customHeight="1">
      <c r="A84" s="590"/>
      <c r="B84" s="590"/>
      <c r="C84" s="590"/>
      <c r="D84" s="590"/>
      <c r="E84" s="590"/>
      <c r="F84" s="590"/>
      <c r="G84" s="590"/>
      <c r="H84" s="590"/>
      <c r="I84" s="590"/>
      <c r="J84" s="590"/>
      <c r="K84" s="590"/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</row>
    <row r="85" ht="12.75" customHeight="1">
      <c r="A85" s="590"/>
      <c r="B85" s="590"/>
      <c r="C85" s="590"/>
      <c r="D85" s="590"/>
      <c r="E85" s="590"/>
      <c r="F85" s="590"/>
      <c r="G85" s="590"/>
      <c r="H85" s="590"/>
      <c r="I85" s="590"/>
      <c r="J85" s="590"/>
      <c r="K85" s="590"/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</row>
    <row r="86" ht="12.75" customHeight="1">
      <c r="A86" s="590"/>
      <c r="B86" s="590"/>
      <c r="C86" s="590"/>
      <c r="D86" s="590"/>
      <c r="E86" s="590"/>
      <c r="F86" s="590"/>
      <c r="G86" s="590"/>
      <c r="H86" s="590"/>
      <c r="I86" s="590"/>
      <c r="J86" s="590"/>
      <c r="K86" s="590"/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</row>
    <row r="87" ht="12.75" customHeight="1">
      <c r="A87" s="590"/>
      <c r="B87" s="590"/>
      <c r="C87" s="590"/>
      <c r="D87" s="590"/>
      <c r="E87" s="590"/>
      <c r="F87" s="590"/>
      <c r="G87" s="590"/>
      <c r="H87" s="590"/>
      <c r="I87" s="590"/>
      <c r="J87" s="590"/>
      <c r="K87" s="590"/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</row>
    <row r="88" ht="12.75" customHeight="1">
      <c r="A88" s="590"/>
      <c r="B88" s="590"/>
      <c r="C88" s="590"/>
      <c r="D88" s="590"/>
      <c r="E88" s="590"/>
      <c r="F88" s="590"/>
      <c r="G88" s="590"/>
      <c r="H88" s="590"/>
      <c r="I88" s="590"/>
      <c r="J88" s="590"/>
      <c r="K88" s="590"/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</row>
    <row r="89" ht="12.75" customHeight="1">
      <c r="A89" s="590"/>
      <c r="B89" s="590"/>
      <c r="C89" s="590"/>
      <c r="D89" s="590"/>
      <c r="E89" s="590"/>
      <c r="F89" s="590"/>
      <c r="G89" s="590"/>
      <c r="H89" s="590"/>
      <c r="I89" s="590"/>
      <c r="J89" s="590"/>
      <c r="K89" s="590"/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</row>
    <row r="90" ht="12.75" customHeight="1">
      <c r="A90" s="590"/>
      <c r="B90" s="590"/>
      <c r="C90" s="590"/>
      <c r="D90" s="590"/>
      <c r="E90" s="590"/>
      <c r="F90" s="590"/>
      <c r="G90" s="590"/>
      <c r="H90" s="590"/>
      <c r="I90" s="590"/>
      <c r="J90" s="590"/>
      <c r="K90" s="590"/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</row>
    <row r="91" ht="12.75" customHeight="1">
      <c r="A91" s="590"/>
      <c r="B91" s="590"/>
      <c r="C91" s="590"/>
      <c r="D91" s="590"/>
      <c r="E91" s="590"/>
      <c r="F91" s="590"/>
      <c r="G91" s="590"/>
      <c r="H91" s="590"/>
      <c r="I91" s="590"/>
      <c r="J91" s="590"/>
      <c r="K91" s="590"/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</row>
    <row r="92" ht="12.75" customHeight="1">
      <c r="A92" s="590"/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</row>
    <row r="93" ht="12.75" customHeight="1">
      <c r="A93" s="590"/>
      <c r="B93" s="590"/>
      <c r="C93" s="590"/>
      <c r="D93" s="590"/>
      <c r="E93" s="590"/>
      <c r="F93" s="590"/>
      <c r="G93" s="590"/>
      <c r="H93" s="590"/>
      <c r="I93" s="590"/>
      <c r="J93" s="590"/>
      <c r="K93" s="590"/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</row>
    <row r="94" ht="12.75" customHeight="1">
      <c r="A94" s="590"/>
      <c r="B94" s="590"/>
      <c r="C94" s="590"/>
      <c r="D94" s="590"/>
      <c r="E94" s="590"/>
      <c r="F94" s="590"/>
      <c r="G94" s="590"/>
      <c r="H94" s="590"/>
      <c r="I94" s="590"/>
      <c r="J94" s="590"/>
      <c r="K94" s="590"/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</row>
    <row r="95" ht="12.75" customHeight="1">
      <c r="A95" s="590"/>
      <c r="B95" s="590"/>
      <c r="C95" s="590"/>
      <c r="D95" s="590"/>
      <c r="E95" s="590"/>
      <c r="F95" s="590"/>
      <c r="G95" s="590"/>
      <c r="H95" s="590"/>
      <c r="I95" s="590"/>
      <c r="J95" s="590"/>
      <c r="K95" s="590"/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</row>
    <row r="96" ht="12.75" customHeight="1">
      <c r="A96" s="590"/>
      <c r="B96" s="590"/>
      <c r="C96" s="590"/>
      <c r="D96" s="590"/>
      <c r="E96" s="590"/>
      <c r="F96" s="590"/>
      <c r="G96" s="590"/>
      <c r="H96" s="590"/>
      <c r="I96" s="590"/>
      <c r="J96" s="590"/>
      <c r="K96" s="590"/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</row>
    <row r="97" ht="12.75" customHeight="1">
      <c r="A97" s="590"/>
      <c r="B97" s="590"/>
      <c r="C97" s="590"/>
      <c r="D97" s="590"/>
      <c r="E97" s="590"/>
      <c r="F97" s="590"/>
      <c r="G97" s="590"/>
      <c r="H97" s="590"/>
      <c r="I97" s="590"/>
      <c r="J97" s="590"/>
      <c r="K97" s="590"/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</row>
    <row r="98" ht="12.75" customHeight="1">
      <c r="A98" s="590"/>
      <c r="B98" s="590"/>
      <c r="C98" s="590"/>
      <c r="D98" s="590"/>
      <c r="E98" s="590"/>
      <c r="F98" s="590"/>
      <c r="G98" s="590"/>
      <c r="H98" s="590"/>
      <c r="I98" s="590"/>
      <c r="J98" s="590"/>
      <c r="K98" s="590"/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</row>
    <row r="99" ht="12.75" customHeight="1">
      <c r="A99" s="590"/>
      <c r="B99" s="590"/>
      <c r="C99" s="590"/>
      <c r="D99" s="590"/>
      <c r="E99" s="590"/>
      <c r="F99" s="590"/>
      <c r="G99" s="590"/>
      <c r="H99" s="590"/>
      <c r="I99" s="590"/>
      <c r="J99" s="590"/>
      <c r="K99" s="590"/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</row>
    <row r="100" ht="12.75" customHeight="1">
      <c r="A100" s="590"/>
      <c r="B100" s="590"/>
      <c r="C100" s="590"/>
      <c r="D100" s="590"/>
      <c r="E100" s="590"/>
      <c r="F100" s="590"/>
      <c r="G100" s="590"/>
      <c r="H100" s="590"/>
      <c r="I100" s="590"/>
      <c r="J100" s="590"/>
      <c r="K100" s="590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</row>
    <row r="101" ht="12.75" customHeight="1">
      <c r="A101" s="590"/>
      <c r="B101" s="590"/>
      <c r="C101" s="590"/>
      <c r="D101" s="590"/>
      <c r="E101" s="590"/>
      <c r="F101" s="590"/>
      <c r="G101" s="590"/>
      <c r="H101" s="590"/>
      <c r="I101" s="590"/>
      <c r="J101" s="590"/>
      <c r="K101" s="590"/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</row>
    <row r="102" ht="12.75" customHeight="1">
      <c r="A102" s="590"/>
      <c r="B102" s="590"/>
      <c r="C102" s="590"/>
      <c r="D102" s="590"/>
      <c r="E102" s="590"/>
      <c r="F102" s="590"/>
      <c r="G102" s="590"/>
      <c r="H102" s="590"/>
      <c r="I102" s="590"/>
      <c r="J102" s="590"/>
      <c r="K102" s="590"/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</row>
    <row r="103" ht="12.75" customHeight="1">
      <c r="A103" s="590"/>
      <c r="B103" s="590"/>
      <c r="C103" s="590"/>
      <c r="D103" s="590"/>
      <c r="E103" s="590"/>
      <c r="F103" s="590"/>
      <c r="G103" s="590"/>
      <c r="H103" s="590"/>
      <c r="I103" s="590"/>
      <c r="J103" s="590"/>
      <c r="K103" s="590"/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</row>
    <row r="104" ht="12.75" customHeight="1">
      <c r="A104" s="590"/>
      <c r="B104" s="590"/>
      <c r="C104" s="590"/>
      <c r="D104" s="590"/>
      <c r="E104" s="590"/>
      <c r="F104" s="590"/>
      <c r="G104" s="590"/>
      <c r="H104" s="590"/>
      <c r="I104" s="590"/>
      <c r="J104" s="590"/>
      <c r="K104" s="590"/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</row>
    <row r="105" ht="12.75" customHeight="1">
      <c r="A105" s="590"/>
      <c r="B105" s="590"/>
      <c r="C105" s="590"/>
      <c r="D105" s="590"/>
      <c r="E105" s="590"/>
      <c r="F105" s="590"/>
      <c r="G105" s="590"/>
      <c r="H105" s="590"/>
      <c r="I105" s="590"/>
      <c r="J105" s="590"/>
      <c r="K105" s="590"/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</row>
    <row r="106" ht="12.75" customHeight="1">
      <c r="A106" s="590"/>
      <c r="B106" s="590"/>
      <c r="C106" s="590"/>
      <c r="D106" s="590"/>
      <c r="E106" s="590"/>
      <c r="F106" s="590"/>
      <c r="G106" s="590"/>
      <c r="H106" s="590"/>
      <c r="I106" s="590"/>
      <c r="J106" s="590"/>
      <c r="K106" s="590"/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</row>
    <row r="107" ht="12.75" customHeight="1">
      <c r="A107" s="590"/>
      <c r="B107" s="590"/>
      <c r="C107" s="590"/>
      <c r="D107" s="590"/>
      <c r="E107" s="590"/>
      <c r="F107" s="590"/>
      <c r="G107" s="590"/>
      <c r="H107" s="590"/>
      <c r="I107" s="590"/>
      <c r="J107" s="590"/>
      <c r="K107" s="590"/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</row>
    <row r="108" ht="12.75" customHeight="1">
      <c r="A108" s="590"/>
      <c r="B108" s="590"/>
      <c r="C108" s="590"/>
      <c r="D108" s="590"/>
      <c r="E108" s="590"/>
      <c r="F108" s="590"/>
      <c r="G108" s="590"/>
      <c r="H108" s="590"/>
      <c r="I108" s="590"/>
      <c r="J108" s="590"/>
      <c r="K108" s="590"/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</row>
    <row r="109" ht="12.75" customHeight="1">
      <c r="A109" s="590"/>
      <c r="B109" s="590"/>
      <c r="C109" s="590"/>
      <c r="D109" s="590"/>
      <c r="E109" s="590"/>
      <c r="F109" s="590"/>
      <c r="G109" s="590"/>
      <c r="H109" s="590"/>
      <c r="I109" s="590"/>
      <c r="J109" s="590"/>
      <c r="K109" s="590"/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</row>
    <row r="110" ht="12.75" customHeight="1">
      <c r="A110" s="590"/>
      <c r="B110" s="590"/>
      <c r="C110" s="590"/>
      <c r="D110" s="590"/>
      <c r="E110" s="590"/>
      <c r="F110" s="590"/>
      <c r="G110" s="590"/>
      <c r="H110" s="590"/>
      <c r="I110" s="590"/>
      <c r="J110" s="590"/>
      <c r="K110" s="590"/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</row>
    <row r="111" ht="12.75" customHeight="1">
      <c r="A111" s="590"/>
      <c r="B111" s="590"/>
      <c r="C111" s="590"/>
      <c r="D111" s="590"/>
      <c r="E111" s="590"/>
      <c r="F111" s="590"/>
      <c r="G111" s="590"/>
      <c r="H111" s="590"/>
      <c r="I111" s="590"/>
      <c r="J111" s="590"/>
      <c r="K111" s="590"/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</row>
    <row r="112" ht="12.75" customHeight="1">
      <c r="A112" s="590"/>
      <c r="B112" s="590"/>
      <c r="C112" s="590"/>
      <c r="D112" s="590"/>
      <c r="E112" s="590"/>
      <c r="F112" s="590"/>
      <c r="G112" s="590"/>
      <c r="H112" s="590"/>
      <c r="I112" s="590"/>
      <c r="J112" s="590"/>
      <c r="K112" s="590"/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</row>
    <row r="113" ht="12.75" customHeight="1">
      <c r="A113" s="590"/>
      <c r="B113" s="590"/>
      <c r="C113" s="590"/>
      <c r="D113" s="590"/>
      <c r="E113" s="590"/>
      <c r="F113" s="590"/>
      <c r="G113" s="590"/>
      <c r="H113" s="590"/>
      <c r="I113" s="590"/>
      <c r="J113" s="590"/>
      <c r="K113" s="590"/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</row>
    <row r="114" ht="12.75" customHeight="1">
      <c r="A114" s="590"/>
      <c r="B114" s="590"/>
      <c r="C114" s="590"/>
      <c r="D114" s="590"/>
      <c r="E114" s="590"/>
      <c r="F114" s="590"/>
      <c r="G114" s="590"/>
      <c r="H114" s="590"/>
      <c r="I114" s="590"/>
      <c r="J114" s="590"/>
      <c r="K114" s="590"/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</row>
    <row r="115" ht="12.75" customHeight="1">
      <c r="A115" s="590"/>
      <c r="B115" s="590"/>
      <c r="C115" s="590"/>
      <c r="D115" s="590"/>
      <c r="E115" s="590"/>
      <c r="F115" s="590"/>
      <c r="G115" s="590"/>
      <c r="H115" s="590"/>
      <c r="I115" s="590"/>
      <c r="J115" s="590"/>
      <c r="K115" s="590"/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</row>
    <row r="116" ht="12.75" customHeight="1">
      <c r="A116" s="590"/>
      <c r="B116" s="590"/>
      <c r="C116" s="590"/>
      <c r="D116" s="590"/>
      <c r="E116" s="590"/>
      <c r="F116" s="590"/>
      <c r="G116" s="590"/>
      <c r="H116" s="590"/>
      <c r="I116" s="590"/>
      <c r="J116" s="590"/>
      <c r="K116" s="590"/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</row>
    <row r="117" ht="12.75" customHeight="1">
      <c r="A117" s="590"/>
      <c r="B117" s="590"/>
      <c r="C117" s="590"/>
      <c r="D117" s="590"/>
      <c r="E117" s="590"/>
      <c r="F117" s="590"/>
      <c r="G117" s="590"/>
      <c r="H117" s="590"/>
      <c r="I117" s="590"/>
      <c r="J117" s="590"/>
      <c r="K117" s="590"/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</row>
    <row r="118" ht="12.75" customHeight="1">
      <c r="A118" s="590"/>
      <c r="B118" s="590"/>
      <c r="C118" s="590"/>
      <c r="D118" s="590"/>
      <c r="E118" s="590"/>
      <c r="F118" s="590"/>
      <c r="G118" s="590"/>
      <c r="H118" s="590"/>
      <c r="I118" s="590"/>
      <c r="J118" s="590"/>
      <c r="K118" s="590"/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</row>
    <row r="119" ht="12.75" customHeight="1">
      <c r="A119" s="590"/>
      <c r="B119" s="590"/>
      <c r="C119" s="590"/>
      <c r="D119" s="590"/>
      <c r="E119" s="590"/>
      <c r="F119" s="590"/>
      <c r="G119" s="590"/>
      <c r="H119" s="590"/>
      <c r="I119" s="590"/>
      <c r="J119" s="590"/>
      <c r="K119" s="590"/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</row>
    <row r="120" ht="12.75" customHeight="1">
      <c r="A120" s="590"/>
      <c r="B120" s="590"/>
      <c r="C120" s="590"/>
      <c r="D120" s="590"/>
      <c r="E120" s="590"/>
      <c r="F120" s="590"/>
      <c r="G120" s="590"/>
      <c r="H120" s="590"/>
      <c r="I120" s="590"/>
      <c r="J120" s="590"/>
      <c r="K120" s="590"/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</row>
    <row r="121" ht="12.75" customHeight="1">
      <c r="A121" s="590"/>
      <c r="B121" s="590"/>
      <c r="C121" s="590"/>
      <c r="D121" s="590"/>
      <c r="E121" s="590"/>
      <c r="F121" s="590"/>
      <c r="G121" s="590"/>
      <c r="H121" s="590"/>
      <c r="I121" s="590"/>
      <c r="J121" s="590"/>
      <c r="K121" s="590"/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</row>
    <row r="122" ht="12.75" customHeight="1">
      <c r="A122" s="590"/>
      <c r="B122" s="590"/>
      <c r="C122" s="590"/>
      <c r="D122" s="590"/>
      <c r="E122" s="590"/>
      <c r="F122" s="590"/>
      <c r="G122" s="590"/>
      <c r="H122" s="590"/>
      <c r="I122" s="590"/>
      <c r="J122" s="590"/>
      <c r="K122" s="590"/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</row>
    <row r="123" ht="12.75" customHeight="1">
      <c r="A123" s="590"/>
      <c r="B123" s="590"/>
      <c r="C123" s="590"/>
      <c r="D123" s="590"/>
      <c r="E123" s="590"/>
      <c r="F123" s="590"/>
      <c r="G123" s="590"/>
      <c r="H123" s="590"/>
      <c r="I123" s="590"/>
      <c r="J123" s="590"/>
      <c r="K123" s="590"/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</row>
    <row r="124" ht="12.75" customHeight="1">
      <c r="A124" s="590"/>
      <c r="B124" s="590"/>
      <c r="C124" s="590"/>
      <c r="D124" s="590"/>
      <c r="E124" s="590"/>
      <c r="F124" s="590"/>
      <c r="G124" s="590"/>
      <c r="H124" s="590"/>
      <c r="I124" s="590"/>
      <c r="J124" s="590"/>
      <c r="K124" s="590"/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</row>
    <row r="125" ht="12.75" customHeight="1">
      <c r="A125" s="590"/>
      <c r="B125" s="590"/>
      <c r="C125" s="590"/>
      <c r="D125" s="590"/>
      <c r="E125" s="590"/>
      <c r="F125" s="590"/>
      <c r="G125" s="590"/>
      <c r="H125" s="590"/>
      <c r="I125" s="590"/>
      <c r="J125" s="590"/>
      <c r="K125" s="590"/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</row>
    <row r="126" ht="12.75" customHeight="1">
      <c r="A126" s="590"/>
      <c r="B126" s="590"/>
      <c r="C126" s="590"/>
      <c r="D126" s="590"/>
      <c r="E126" s="590"/>
      <c r="F126" s="590"/>
      <c r="G126" s="590"/>
      <c r="H126" s="590"/>
      <c r="I126" s="590"/>
      <c r="J126" s="590"/>
      <c r="K126" s="590"/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</row>
    <row r="127" ht="12.75" customHeight="1">
      <c r="A127" s="590"/>
      <c r="B127" s="590"/>
      <c r="C127" s="590"/>
      <c r="D127" s="590"/>
      <c r="E127" s="590"/>
      <c r="F127" s="590"/>
      <c r="G127" s="590"/>
      <c r="H127" s="590"/>
      <c r="I127" s="590"/>
      <c r="J127" s="590"/>
      <c r="K127" s="590"/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</row>
    <row r="128" ht="12.75" customHeight="1">
      <c r="A128" s="590"/>
      <c r="B128" s="590"/>
      <c r="C128" s="590"/>
      <c r="D128" s="590"/>
      <c r="E128" s="590"/>
      <c r="F128" s="590"/>
      <c r="G128" s="590"/>
      <c r="H128" s="590"/>
      <c r="I128" s="590"/>
      <c r="J128" s="590"/>
      <c r="K128" s="590"/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</row>
    <row r="129" ht="12.75" customHeight="1">
      <c r="A129" s="590"/>
      <c r="B129" s="590"/>
      <c r="C129" s="590"/>
      <c r="D129" s="590"/>
      <c r="E129" s="590"/>
      <c r="F129" s="590"/>
      <c r="G129" s="590"/>
      <c r="H129" s="590"/>
      <c r="I129" s="590"/>
      <c r="J129" s="590"/>
      <c r="K129" s="590"/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</row>
    <row r="130" ht="12.75" customHeight="1">
      <c r="A130" s="590"/>
      <c r="B130" s="590"/>
      <c r="C130" s="590"/>
      <c r="D130" s="590"/>
      <c r="E130" s="590"/>
      <c r="F130" s="590"/>
      <c r="G130" s="590"/>
      <c r="H130" s="590"/>
      <c r="I130" s="590"/>
      <c r="J130" s="590"/>
      <c r="K130" s="590"/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</row>
    <row r="131" ht="12.75" customHeight="1">
      <c r="A131" s="590"/>
      <c r="B131" s="590"/>
      <c r="C131" s="590"/>
      <c r="D131" s="590"/>
      <c r="E131" s="590"/>
      <c r="F131" s="590"/>
      <c r="G131" s="590"/>
      <c r="H131" s="590"/>
      <c r="I131" s="590"/>
      <c r="J131" s="590"/>
      <c r="K131" s="590"/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</row>
    <row r="132" ht="12.75" customHeight="1">
      <c r="A132" s="590"/>
      <c r="B132" s="590"/>
      <c r="C132" s="590"/>
      <c r="D132" s="590"/>
      <c r="E132" s="590"/>
      <c r="F132" s="590"/>
      <c r="G132" s="590"/>
      <c r="H132" s="590"/>
      <c r="I132" s="590"/>
      <c r="J132" s="590"/>
      <c r="K132" s="590"/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</row>
    <row r="133" ht="12.75" customHeight="1">
      <c r="A133" s="590"/>
      <c r="B133" s="590"/>
      <c r="C133" s="590"/>
      <c r="D133" s="590"/>
      <c r="E133" s="590"/>
      <c r="F133" s="590"/>
      <c r="G133" s="590"/>
      <c r="H133" s="590"/>
      <c r="I133" s="590"/>
      <c r="J133" s="590"/>
      <c r="K133" s="590"/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</row>
    <row r="134" ht="12.75" customHeight="1">
      <c r="A134" s="590"/>
      <c r="B134" s="590"/>
      <c r="C134" s="590"/>
      <c r="D134" s="590"/>
      <c r="E134" s="590"/>
      <c r="F134" s="590"/>
      <c r="G134" s="590"/>
      <c r="H134" s="590"/>
      <c r="I134" s="590"/>
      <c r="J134" s="590"/>
      <c r="K134" s="590"/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</row>
    <row r="135" ht="12.75" customHeight="1">
      <c r="A135" s="590"/>
      <c r="B135" s="590"/>
      <c r="C135" s="590"/>
      <c r="D135" s="590"/>
      <c r="E135" s="590"/>
      <c r="F135" s="590"/>
      <c r="G135" s="590"/>
      <c r="H135" s="590"/>
      <c r="I135" s="590"/>
      <c r="J135" s="590"/>
      <c r="K135" s="590"/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</row>
    <row r="136" ht="12.75" customHeight="1">
      <c r="A136" s="590"/>
      <c r="B136" s="590"/>
      <c r="C136" s="590"/>
      <c r="D136" s="590"/>
      <c r="E136" s="590"/>
      <c r="F136" s="590"/>
      <c r="G136" s="590"/>
      <c r="H136" s="590"/>
      <c r="I136" s="590"/>
      <c r="J136" s="590"/>
      <c r="K136" s="590"/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</row>
    <row r="137" ht="12.75" customHeight="1">
      <c r="A137" s="590"/>
      <c r="B137" s="590"/>
      <c r="C137" s="590"/>
      <c r="D137" s="590"/>
      <c r="E137" s="590"/>
      <c r="F137" s="590"/>
      <c r="G137" s="590"/>
      <c r="H137" s="590"/>
      <c r="I137" s="590"/>
      <c r="J137" s="590"/>
      <c r="K137" s="590"/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</row>
    <row r="138" ht="12.75" customHeight="1">
      <c r="A138" s="590"/>
      <c r="B138" s="590"/>
      <c r="C138" s="590"/>
      <c r="D138" s="590"/>
      <c r="E138" s="590"/>
      <c r="F138" s="590"/>
      <c r="G138" s="590"/>
      <c r="H138" s="590"/>
      <c r="I138" s="590"/>
      <c r="J138" s="590"/>
      <c r="K138" s="590"/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</row>
    <row r="139" ht="12.75" customHeight="1">
      <c r="A139" s="590"/>
      <c r="B139" s="590"/>
      <c r="C139" s="590"/>
      <c r="D139" s="590"/>
      <c r="E139" s="590"/>
      <c r="F139" s="590"/>
      <c r="G139" s="590"/>
      <c r="H139" s="590"/>
      <c r="I139" s="590"/>
      <c r="J139" s="590"/>
      <c r="K139" s="590"/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</row>
    <row r="140" ht="12.75" customHeight="1">
      <c r="A140" s="590"/>
      <c r="B140" s="590"/>
      <c r="C140" s="590"/>
      <c r="D140" s="590"/>
      <c r="E140" s="590"/>
      <c r="F140" s="590"/>
      <c r="G140" s="590"/>
      <c r="H140" s="590"/>
      <c r="I140" s="590"/>
      <c r="J140" s="590"/>
      <c r="K140" s="590"/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</row>
    <row r="141" ht="12.75" customHeight="1">
      <c r="A141" s="590"/>
      <c r="B141" s="590"/>
      <c r="C141" s="590"/>
      <c r="D141" s="590"/>
      <c r="E141" s="590"/>
      <c r="F141" s="590"/>
      <c r="G141" s="590"/>
      <c r="H141" s="590"/>
      <c r="I141" s="590"/>
      <c r="J141" s="590"/>
      <c r="K141" s="590"/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</row>
    <row r="142" ht="12.75" customHeight="1">
      <c r="A142" s="590"/>
      <c r="B142" s="590"/>
      <c r="C142" s="590"/>
      <c r="D142" s="590"/>
      <c r="E142" s="590"/>
      <c r="F142" s="590"/>
      <c r="G142" s="590"/>
      <c r="H142" s="590"/>
      <c r="I142" s="590"/>
      <c r="J142" s="590"/>
      <c r="K142" s="590"/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</row>
    <row r="143" ht="12.75" customHeight="1">
      <c r="A143" s="590"/>
      <c r="B143" s="590"/>
      <c r="C143" s="590"/>
      <c r="D143" s="590"/>
      <c r="E143" s="590"/>
      <c r="F143" s="590"/>
      <c r="G143" s="590"/>
      <c r="H143" s="590"/>
      <c r="I143" s="590"/>
      <c r="J143" s="590"/>
      <c r="K143" s="590"/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</row>
    <row r="144" ht="12.75" customHeight="1">
      <c r="A144" s="590"/>
      <c r="B144" s="590"/>
      <c r="C144" s="590"/>
      <c r="D144" s="590"/>
      <c r="E144" s="590"/>
      <c r="F144" s="590"/>
      <c r="G144" s="590"/>
      <c r="H144" s="590"/>
      <c r="I144" s="590"/>
      <c r="J144" s="590"/>
      <c r="K144" s="590"/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</row>
    <row r="145" ht="12.75" customHeight="1">
      <c r="A145" s="590"/>
      <c r="B145" s="590"/>
      <c r="C145" s="590"/>
      <c r="D145" s="590"/>
      <c r="E145" s="590"/>
      <c r="F145" s="590"/>
      <c r="G145" s="590"/>
      <c r="H145" s="590"/>
      <c r="I145" s="590"/>
      <c r="J145" s="590"/>
      <c r="K145" s="590"/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</row>
    <row r="146" ht="12.75" customHeight="1">
      <c r="A146" s="590"/>
      <c r="B146" s="590"/>
      <c r="C146" s="590"/>
      <c r="D146" s="590"/>
      <c r="E146" s="590"/>
      <c r="F146" s="590"/>
      <c r="G146" s="590"/>
      <c r="H146" s="590"/>
      <c r="I146" s="590"/>
      <c r="J146" s="590"/>
      <c r="K146" s="590"/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</row>
    <row r="147" ht="12.75" customHeight="1">
      <c r="A147" s="590"/>
      <c r="B147" s="590"/>
      <c r="C147" s="590"/>
      <c r="D147" s="590"/>
      <c r="E147" s="590"/>
      <c r="F147" s="590"/>
      <c r="G147" s="590"/>
      <c r="H147" s="590"/>
      <c r="I147" s="590"/>
      <c r="J147" s="590"/>
      <c r="K147" s="590"/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</row>
    <row r="148" ht="12.75" customHeight="1">
      <c r="A148" s="590"/>
      <c r="B148" s="590"/>
      <c r="C148" s="590"/>
      <c r="D148" s="590"/>
      <c r="E148" s="590"/>
      <c r="F148" s="590"/>
      <c r="G148" s="590"/>
      <c r="H148" s="590"/>
      <c r="I148" s="590"/>
      <c r="J148" s="590"/>
      <c r="K148" s="590"/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</row>
    <row r="149" ht="12.75" customHeight="1">
      <c r="A149" s="590"/>
      <c r="B149" s="590"/>
      <c r="C149" s="590"/>
      <c r="D149" s="590"/>
      <c r="E149" s="590"/>
      <c r="F149" s="590"/>
      <c r="G149" s="590"/>
      <c r="H149" s="590"/>
      <c r="I149" s="590"/>
      <c r="J149" s="590"/>
      <c r="K149" s="590"/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</row>
    <row r="150" ht="12.75" customHeight="1">
      <c r="A150" s="590"/>
      <c r="B150" s="590"/>
      <c r="C150" s="590"/>
      <c r="D150" s="590"/>
      <c r="E150" s="590"/>
      <c r="F150" s="590"/>
      <c r="G150" s="590"/>
      <c r="H150" s="590"/>
      <c r="I150" s="590"/>
      <c r="J150" s="590"/>
      <c r="K150" s="590"/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</row>
    <row r="151" ht="12.75" customHeight="1">
      <c r="A151" s="590"/>
      <c r="B151" s="590"/>
      <c r="C151" s="590"/>
      <c r="D151" s="590"/>
      <c r="E151" s="590"/>
      <c r="F151" s="590"/>
      <c r="G151" s="590"/>
      <c r="H151" s="590"/>
      <c r="I151" s="590"/>
      <c r="J151" s="590"/>
      <c r="K151" s="590"/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</row>
    <row r="152" ht="12.75" customHeight="1">
      <c r="A152" s="590"/>
      <c r="B152" s="590"/>
      <c r="C152" s="590"/>
      <c r="D152" s="590"/>
      <c r="E152" s="590"/>
      <c r="F152" s="590"/>
      <c r="G152" s="590"/>
      <c r="H152" s="590"/>
      <c r="I152" s="590"/>
      <c r="J152" s="590"/>
      <c r="K152" s="590"/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</row>
    <row r="153" ht="12.75" customHeight="1">
      <c r="A153" s="590"/>
      <c r="B153" s="590"/>
      <c r="C153" s="590"/>
      <c r="D153" s="590"/>
      <c r="E153" s="590"/>
      <c r="F153" s="590"/>
      <c r="G153" s="590"/>
      <c r="H153" s="590"/>
      <c r="I153" s="590"/>
      <c r="J153" s="590"/>
      <c r="K153" s="590"/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</row>
    <row r="154" ht="12.75" customHeight="1">
      <c r="A154" s="590"/>
      <c r="B154" s="590"/>
      <c r="C154" s="590"/>
      <c r="D154" s="590"/>
      <c r="E154" s="590"/>
      <c r="F154" s="590"/>
      <c r="G154" s="590"/>
      <c r="H154" s="590"/>
      <c r="I154" s="590"/>
      <c r="J154" s="590"/>
      <c r="K154" s="590"/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</row>
    <row r="155" ht="12.75" customHeight="1">
      <c r="A155" s="590"/>
      <c r="B155" s="590"/>
      <c r="C155" s="590"/>
      <c r="D155" s="590"/>
      <c r="E155" s="590"/>
      <c r="F155" s="590"/>
      <c r="G155" s="590"/>
      <c r="H155" s="590"/>
      <c r="I155" s="590"/>
      <c r="J155" s="590"/>
      <c r="K155" s="590"/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</row>
    <row r="156" ht="12.75" customHeight="1">
      <c r="A156" s="590"/>
      <c r="B156" s="590"/>
      <c r="C156" s="590"/>
      <c r="D156" s="590"/>
      <c r="E156" s="590"/>
      <c r="F156" s="590"/>
      <c r="G156" s="590"/>
      <c r="H156" s="590"/>
      <c r="I156" s="590"/>
      <c r="J156" s="590"/>
      <c r="K156" s="590"/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</row>
    <row r="157" ht="12.75" customHeight="1">
      <c r="A157" s="590"/>
      <c r="B157" s="590"/>
      <c r="C157" s="590"/>
      <c r="D157" s="590"/>
      <c r="E157" s="590"/>
      <c r="F157" s="590"/>
      <c r="G157" s="590"/>
      <c r="H157" s="590"/>
      <c r="I157" s="590"/>
      <c r="J157" s="590"/>
      <c r="K157" s="590"/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</row>
    <row r="158" ht="12.75" customHeight="1">
      <c r="A158" s="590"/>
      <c r="B158" s="590"/>
      <c r="C158" s="590"/>
      <c r="D158" s="590"/>
      <c r="E158" s="590"/>
      <c r="F158" s="590"/>
      <c r="G158" s="590"/>
      <c r="H158" s="590"/>
      <c r="I158" s="590"/>
      <c r="J158" s="590"/>
      <c r="K158" s="590"/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</row>
    <row r="159" ht="12.75" customHeight="1">
      <c r="A159" s="590"/>
      <c r="B159" s="590"/>
      <c r="C159" s="590"/>
      <c r="D159" s="590"/>
      <c r="E159" s="590"/>
      <c r="F159" s="590"/>
      <c r="G159" s="590"/>
      <c r="H159" s="590"/>
      <c r="I159" s="590"/>
      <c r="J159" s="590"/>
      <c r="K159" s="590"/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</row>
    <row r="160" ht="12.75" customHeight="1">
      <c r="A160" s="590"/>
      <c r="B160" s="590"/>
      <c r="C160" s="590"/>
      <c r="D160" s="590"/>
      <c r="E160" s="590"/>
      <c r="F160" s="590"/>
      <c r="G160" s="590"/>
      <c r="H160" s="590"/>
      <c r="I160" s="590"/>
      <c r="J160" s="590"/>
      <c r="K160" s="590"/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</row>
    <row r="161" ht="12.75" customHeight="1">
      <c r="A161" s="590"/>
      <c r="B161" s="590"/>
      <c r="C161" s="590"/>
      <c r="D161" s="590"/>
      <c r="E161" s="590"/>
      <c r="F161" s="590"/>
      <c r="G161" s="590"/>
      <c r="H161" s="590"/>
      <c r="I161" s="590"/>
      <c r="J161" s="590"/>
      <c r="K161" s="590"/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</row>
    <row r="162" ht="12.75" customHeight="1">
      <c r="A162" s="590"/>
      <c r="B162" s="590"/>
      <c r="C162" s="590"/>
      <c r="D162" s="590"/>
      <c r="E162" s="590"/>
      <c r="F162" s="590"/>
      <c r="G162" s="590"/>
      <c r="H162" s="590"/>
      <c r="I162" s="590"/>
      <c r="J162" s="590"/>
      <c r="K162" s="590"/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</row>
    <row r="163" ht="12.75" customHeight="1">
      <c r="A163" s="590"/>
      <c r="B163" s="590"/>
      <c r="C163" s="590"/>
      <c r="D163" s="590"/>
      <c r="E163" s="590"/>
      <c r="F163" s="590"/>
      <c r="G163" s="590"/>
      <c r="H163" s="590"/>
      <c r="I163" s="590"/>
      <c r="J163" s="590"/>
      <c r="K163" s="590"/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</row>
    <row r="164" ht="12.75" customHeight="1">
      <c r="A164" s="590"/>
      <c r="B164" s="590"/>
      <c r="C164" s="590"/>
      <c r="D164" s="590"/>
      <c r="E164" s="590"/>
      <c r="F164" s="590"/>
      <c r="G164" s="590"/>
      <c r="H164" s="590"/>
      <c r="I164" s="590"/>
      <c r="J164" s="590"/>
      <c r="K164" s="590"/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</row>
    <row r="165" ht="12.75" customHeight="1">
      <c r="A165" s="590"/>
      <c r="B165" s="590"/>
      <c r="C165" s="590"/>
      <c r="D165" s="590"/>
      <c r="E165" s="590"/>
      <c r="F165" s="590"/>
      <c r="G165" s="590"/>
      <c r="H165" s="590"/>
      <c r="I165" s="590"/>
      <c r="J165" s="590"/>
      <c r="K165" s="590"/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</row>
    <row r="166" ht="12.75" customHeight="1">
      <c r="A166" s="590"/>
      <c r="B166" s="590"/>
      <c r="C166" s="590"/>
      <c r="D166" s="590"/>
      <c r="E166" s="590"/>
      <c r="F166" s="590"/>
      <c r="G166" s="590"/>
      <c r="H166" s="590"/>
      <c r="I166" s="590"/>
      <c r="J166" s="590"/>
      <c r="K166" s="590"/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</row>
    <row r="167" ht="12.75" customHeight="1">
      <c r="A167" s="590"/>
      <c r="B167" s="590"/>
      <c r="C167" s="590"/>
      <c r="D167" s="590"/>
      <c r="E167" s="590"/>
      <c r="F167" s="590"/>
      <c r="G167" s="590"/>
      <c r="H167" s="590"/>
      <c r="I167" s="590"/>
      <c r="J167" s="590"/>
      <c r="K167" s="590"/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</row>
    <row r="168" ht="12.75" customHeight="1">
      <c r="A168" s="590"/>
      <c r="B168" s="590"/>
      <c r="C168" s="590"/>
      <c r="D168" s="590"/>
      <c r="E168" s="590"/>
      <c r="F168" s="590"/>
      <c r="G168" s="590"/>
      <c r="H168" s="590"/>
      <c r="I168" s="590"/>
      <c r="J168" s="590"/>
      <c r="K168" s="590"/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</row>
    <row r="169" ht="12.75" customHeight="1">
      <c r="A169" s="590"/>
      <c r="B169" s="590"/>
      <c r="C169" s="590"/>
      <c r="D169" s="590"/>
      <c r="E169" s="590"/>
      <c r="F169" s="590"/>
      <c r="G169" s="590"/>
      <c r="H169" s="590"/>
      <c r="I169" s="590"/>
      <c r="J169" s="590"/>
      <c r="K169" s="590"/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</row>
    <row r="170" ht="12.75" customHeight="1">
      <c r="A170" s="590"/>
      <c r="B170" s="590"/>
      <c r="C170" s="590"/>
      <c r="D170" s="590"/>
      <c r="E170" s="590"/>
      <c r="F170" s="590"/>
      <c r="G170" s="590"/>
      <c r="H170" s="590"/>
      <c r="I170" s="590"/>
      <c r="J170" s="590"/>
      <c r="K170" s="590"/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</row>
    <row r="171" ht="12.75" customHeight="1">
      <c r="A171" s="590"/>
      <c r="B171" s="590"/>
      <c r="C171" s="590"/>
      <c r="D171" s="590"/>
      <c r="E171" s="590"/>
      <c r="F171" s="590"/>
      <c r="G171" s="590"/>
      <c r="H171" s="590"/>
      <c r="I171" s="590"/>
      <c r="J171" s="590"/>
      <c r="K171" s="590"/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</row>
    <row r="172" ht="12.75" customHeight="1">
      <c r="A172" s="590"/>
      <c r="B172" s="590"/>
      <c r="C172" s="590"/>
      <c r="D172" s="590"/>
      <c r="E172" s="590"/>
      <c r="F172" s="590"/>
      <c r="G172" s="590"/>
      <c r="H172" s="590"/>
      <c r="I172" s="590"/>
      <c r="J172" s="590"/>
      <c r="K172" s="590"/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</row>
    <row r="173" ht="12.75" customHeight="1">
      <c r="A173" s="590"/>
      <c r="B173" s="590"/>
      <c r="C173" s="590"/>
      <c r="D173" s="590"/>
      <c r="E173" s="590"/>
      <c r="F173" s="590"/>
      <c r="G173" s="590"/>
      <c r="H173" s="590"/>
      <c r="I173" s="590"/>
      <c r="J173" s="590"/>
      <c r="K173" s="590"/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</row>
    <row r="174" ht="12.75" customHeight="1">
      <c r="A174" s="590"/>
      <c r="B174" s="590"/>
      <c r="C174" s="590"/>
      <c r="D174" s="590"/>
      <c r="E174" s="590"/>
      <c r="F174" s="590"/>
      <c r="G174" s="590"/>
      <c r="H174" s="590"/>
      <c r="I174" s="590"/>
      <c r="J174" s="590"/>
      <c r="K174" s="590"/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</row>
    <row r="175" ht="12.75" customHeight="1">
      <c r="A175" s="590"/>
      <c r="B175" s="590"/>
      <c r="C175" s="590"/>
      <c r="D175" s="590"/>
      <c r="E175" s="590"/>
      <c r="F175" s="590"/>
      <c r="G175" s="590"/>
      <c r="H175" s="590"/>
      <c r="I175" s="590"/>
      <c r="J175" s="590"/>
      <c r="K175" s="590"/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</row>
    <row r="176" ht="12.75" customHeight="1">
      <c r="A176" s="590"/>
      <c r="B176" s="590"/>
      <c r="C176" s="590"/>
      <c r="D176" s="590"/>
      <c r="E176" s="590"/>
      <c r="F176" s="590"/>
      <c r="G176" s="590"/>
      <c r="H176" s="590"/>
      <c r="I176" s="590"/>
      <c r="J176" s="590"/>
      <c r="K176" s="590"/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</row>
    <row r="177" ht="12.75" customHeight="1">
      <c r="A177" s="590"/>
      <c r="B177" s="590"/>
      <c r="C177" s="590"/>
      <c r="D177" s="590"/>
      <c r="E177" s="590"/>
      <c r="F177" s="590"/>
      <c r="G177" s="590"/>
      <c r="H177" s="590"/>
      <c r="I177" s="590"/>
      <c r="J177" s="590"/>
      <c r="K177" s="590"/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</row>
    <row r="178" ht="12.75" customHeight="1">
      <c r="A178" s="590"/>
      <c r="B178" s="590"/>
      <c r="C178" s="590"/>
      <c r="D178" s="590"/>
      <c r="E178" s="590"/>
      <c r="F178" s="590"/>
      <c r="G178" s="590"/>
      <c r="H178" s="590"/>
      <c r="I178" s="590"/>
      <c r="J178" s="590"/>
      <c r="K178" s="590"/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</row>
    <row r="179" ht="12.75" customHeight="1">
      <c r="A179" s="590"/>
      <c r="B179" s="590"/>
      <c r="C179" s="590"/>
      <c r="D179" s="590"/>
      <c r="E179" s="590"/>
      <c r="F179" s="590"/>
      <c r="G179" s="590"/>
      <c r="H179" s="590"/>
      <c r="I179" s="590"/>
      <c r="J179" s="590"/>
      <c r="K179" s="590"/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</row>
    <row r="180" ht="12.75" customHeight="1">
      <c r="A180" s="590"/>
      <c r="B180" s="590"/>
      <c r="C180" s="590"/>
      <c r="D180" s="590"/>
      <c r="E180" s="590"/>
      <c r="F180" s="590"/>
      <c r="G180" s="590"/>
      <c r="H180" s="590"/>
      <c r="I180" s="590"/>
      <c r="J180" s="590"/>
      <c r="K180" s="590"/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</row>
    <row r="181" ht="12.75" customHeight="1">
      <c r="A181" s="590"/>
      <c r="B181" s="590"/>
      <c r="C181" s="590"/>
      <c r="D181" s="590"/>
      <c r="E181" s="590"/>
      <c r="F181" s="590"/>
      <c r="G181" s="590"/>
      <c r="H181" s="590"/>
      <c r="I181" s="590"/>
      <c r="J181" s="590"/>
      <c r="K181" s="590"/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</row>
    <row r="182" ht="12.75" customHeight="1">
      <c r="A182" s="590"/>
      <c r="B182" s="590"/>
      <c r="C182" s="590"/>
      <c r="D182" s="590"/>
      <c r="E182" s="590"/>
      <c r="F182" s="590"/>
      <c r="G182" s="590"/>
      <c r="H182" s="590"/>
      <c r="I182" s="590"/>
      <c r="J182" s="590"/>
      <c r="K182" s="590"/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</row>
    <row r="183" ht="12.75" customHeight="1">
      <c r="A183" s="590"/>
      <c r="B183" s="590"/>
      <c r="C183" s="590"/>
      <c r="D183" s="590"/>
      <c r="E183" s="590"/>
      <c r="F183" s="590"/>
      <c r="G183" s="590"/>
      <c r="H183" s="590"/>
      <c r="I183" s="590"/>
      <c r="J183" s="590"/>
      <c r="K183" s="590"/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</row>
    <row r="184" ht="12.75" customHeight="1">
      <c r="A184" s="590"/>
      <c r="B184" s="590"/>
      <c r="C184" s="590"/>
      <c r="D184" s="590"/>
      <c r="E184" s="590"/>
      <c r="F184" s="590"/>
      <c r="G184" s="590"/>
      <c r="H184" s="590"/>
      <c r="I184" s="590"/>
      <c r="J184" s="590"/>
      <c r="K184" s="590"/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</row>
    <row r="185" ht="12.75" customHeight="1">
      <c r="A185" s="590"/>
      <c r="B185" s="590"/>
      <c r="C185" s="590"/>
      <c r="D185" s="590"/>
      <c r="E185" s="590"/>
      <c r="F185" s="590"/>
      <c r="G185" s="590"/>
      <c r="H185" s="590"/>
      <c r="I185" s="590"/>
      <c r="J185" s="590"/>
      <c r="K185" s="590"/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</row>
    <row r="186" ht="12.75" customHeight="1">
      <c r="A186" s="590"/>
      <c r="B186" s="590"/>
      <c r="C186" s="590"/>
      <c r="D186" s="590"/>
      <c r="E186" s="590"/>
      <c r="F186" s="590"/>
      <c r="G186" s="590"/>
      <c r="H186" s="590"/>
      <c r="I186" s="590"/>
      <c r="J186" s="590"/>
      <c r="K186" s="590"/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</row>
    <row r="187" ht="12.75" customHeight="1">
      <c r="A187" s="590"/>
      <c r="B187" s="590"/>
      <c r="C187" s="590"/>
      <c r="D187" s="590"/>
      <c r="E187" s="590"/>
      <c r="F187" s="590"/>
      <c r="G187" s="590"/>
      <c r="H187" s="590"/>
      <c r="I187" s="590"/>
      <c r="J187" s="590"/>
      <c r="K187" s="590"/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</row>
    <row r="188" ht="12.75" customHeight="1">
      <c r="A188" s="590"/>
      <c r="B188" s="590"/>
      <c r="C188" s="590"/>
      <c r="D188" s="590"/>
      <c r="E188" s="590"/>
      <c r="F188" s="590"/>
      <c r="G188" s="590"/>
      <c r="H188" s="590"/>
      <c r="I188" s="590"/>
      <c r="J188" s="590"/>
      <c r="K188" s="590"/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</row>
    <row r="189" ht="12.75" customHeight="1">
      <c r="A189" s="590"/>
      <c r="B189" s="590"/>
      <c r="C189" s="590"/>
      <c r="D189" s="590"/>
      <c r="E189" s="590"/>
      <c r="F189" s="590"/>
      <c r="G189" s="590"/>
      <c r="H189" s="590"/>
      <c r="I189" s="590"/>
      <c r="J189" s="590"/>
      <c r="K189" s="590"/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</row>
    <row r="190" ht="12.75" customHeight="1">
      <c r="A190" s="590"/>
      <c r="B190" s="590"/>
      <c r="C190" s="590"/>
      <c r="D190" s="590"/>
      <c r="E190" s="590"/>
      <c r="F190" s="590"/>
      <c r="G190" s="590"/>
      <c r="H190" s="590"/>
      <c r="I190" s="590"/>
      <c r="J190" s="590"/>
      <c r="K190" s="590"/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</row>
    <row r="191" ht="12.75" customHeight="1">
      <c r="A191" s="590"/>
      <c r="B191" s="590"/>
      <c r="C191" s="590"/>
      <c r="D191" s="590"/>
      <c r="E191" s="590"/>
      <c r="F191" s="590"/>
      <c r="G191" s="590"/>
      <c r="H191" s="590"/>
      <c r="I191" s="590"/>
      <c r="J191" s="590"/>
      <c r="K191" s="590"/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</row>
    <row r="192" ht="12.75" customHeight="1">
      <c r="A192" s="590"/>
      <c r="B192" s="590"/>
      <c r="C192" s="590"/>
      <c r="D192" s="590"/>
      <c r="E192" s="590"/>
      <c r="F192" s="590"/>
      <c r="G192" s="590"/>
      <c r="H192" s="590"/>
      <c r="I192" s="590"/>
      <c r="J192" s="590"/>
      <c r="K192" s="590"/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</row>
    <row r="193" ht="12.75" customHeight="1">
      <c r="A193" s="590"/>
      <c r="B193" s="590"/>
      <c r="C193" s="590"/>
      <c r="D193" s="590"/>
      <c r="E193" s="590"/>
      <c r="F193" s="590"/>
      <c r="G193" s="590"/>
      <c r="H193" s="590"/>
      <c r="I193" s="590"/>
      <c r="J193" s="590"/>
      <c r="K193" s="590"/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</row>
    <row r="194" ht="12.75" customHeight="1">
      <c r="A194" s="590"/>
      <c r="B194" s="590"/>
      <c r="C194" s="590"/>
      <c r="D194" s="590"/>
      <c r="E194" s="590"/>
      <c r="F194" s="590"/>
      <c r="G194" s="590"/>
      <c r="H194" s="590"/>
      <c r="I194" s="590"/>
      <c r="J194" s="590"/>
      <c r="K194" s="590"/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</row>
    <row r="195" ht="12.75" customHeight="1">
      <c r="A195" s="590"/>
      <c r="B195" s="590"/>
      <c r="C195" s="590"/>
      <c r="D195" s="590"/>
      <c r="E195" s="590"/>
      <c r="F195" s="590"/>
      <c r="G195" s="590"/>
      <c r="H195" s="590"/>
      <c r="I195" s="590"/>
      <c r="J195" s="590"/>
      <c r="K195" s="590"/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</row>
    <row r="196" ht="12.75" customHeight="1">
      <c r="A196" s="590"/>
      <c r="B196" s="590"/>
      <c r="C196" s="590"/>
      <c r="D196" s="590"/>
      <c r="E196" s="590"/>
      <c r="F196" s="590"/>
      <c r="G196" s="590"/>
      <c r="H196" s="590"/>
      <c r="I196" s="590"/>
      <c r="J196" s="590"/>
      <c r="K196" s="590"/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</row>
    <row r="197" ht="12.75" customHeight="1">
      <c r="A197" s="590"/>
      <c r="B197" s="590"/>
      <c r="C197" s="590"/>
      <c r="D197" s="590"/>
      <c r="E197" s="590"/>
      <c r="F197" s="590"/>
      <c r="G197" s="590"/>
      <c r="H197" s="590"/>
      <c r="I197" s="590"/>
      <c r="J197" s="590"/>
      <c r="K197" s="590"/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</row>
    <row r="198" ht="12.75" customHeight="1">
      <c r="A198" s="590"/>
      <c r="B198" s="590"/>
      <c r="C198" s="590"/>
      <c r="D198" s="590"/>
      <c r="E198" s="590"/>
      <c r="F198" s="590"/>
      <c r="G198" s="590"/>
      <c r="H198" s="590"/>
      <c r="I198" s="590"/>
      <c r="J198" s="590"/>
      <c r="K198" s="590"/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</row>
    <row r="199" ht="12.75" customHeight="1">
      <c r="A199" s="590"/>
      <c r="B199" s="590"/>
      <c r="C199" s="590"/>
      <c r="D199" s="590"/>
      <c r="E199" s="590"/>
      <c r="F199" s="590"/>
      <c r="G199" s="590"/>
      <c r="H199" s="590"/>
      <c r="I199" s="590"/>
      <c r="J199" s="590"/>
      <c r="K199" s="590"/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</row>
    <row r="200" ht="12.75" customHeight="1">
      <c r="A200" s="590"/>
      <c r="B200" s="590"/>
      <c r="C200" s="590"/>
      <c r="D200" s="590"/>
      <c r="E200" s="590"/>
      <c r="F200" s="590"/>
      <c r="G200" s="590"/>
      <c r="H200" s="590"/>
      <c r="I200" s="590"/>
      <c r="J200" s="590"/>
      <c r="K200" s="590"/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</row>
    <row r="201" ht="12.75" customHeight="1">
      <c r="A201" s="590"/>
      <c r="B201" s="590"/>
      <c r="C201" s="590"/>
      <c r="D201" s="590"/>
      <c r="E201" s="590"/>
      <c r="F201" s="590"/>
      <c r="G201" s="590"/>
      <c r="H201" s="590"/>
      <c r="I201" s="590"/>
      <c r="J201" s="590"/>
      <c r="K201" s="590"/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</row>
    <row r="202" ht="12.75" customHeight="1">
      <c r="A202" s="590"/>
      <c r="B202" s="590"/>
      <c r="C202" s="590"/>
      <c r="D202" s="590"/>
      <c r="E202" s="590"/>
      <c r="F202" s="590"/>
      <c r="G202" s="590"/>
      <c r="H202" s="590"/>
      <c r="I202" s="590"/>
      <c r="J202" s="590"/>
      <c r="K202" s="590"/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</row>
    <row r="203" ht="12.75" customHeight="1">
      <c r="A203" s="590"/>
      <c r="B203" s="590"/>
      <c r="C203" s="590"/>
      <c r="D203" s="590"/>
      <c r="E203" s="590"/>
      <c r="F203" s="590"/>
      <c r="G203" s="590"/>
      <c r="H203" s="590"/>
      <c r="I203" s="590"/>
      <c r="J203" s="590"/>
      <c r="K203" s="590"/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</row>
    <row r="204" ht="12.75" customHeight="1">
      <c r="A204" s="590"/>
      <c r="B204" s="590"/>
      <c r="C204" s="590"/>
      <c r="D204" s="590"/>
      <c r="E204" s="590"/>
      <c r="F204" s="590"/>
      <c r="G204" s="590"/>
      <c r="H204" s="590"/>
      <c r="I204" s="590"/>
      <c r="J204" s="590"/>
      <c r="K204" s="590"/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</row>
    <row r="205" ht="12.75" customHeight="1">
      <c r="A205" s="590"/>
      <c r="B205" s="590"/>
      <c r="C205" s="590"/>
      <c r="D205" s="590"/>
      <c r="E205" s="590"/>
      <c r="F205" s="590"/>
      <c r="G205" s="590"/>
      <c r="H205" s="590"/>
      <c r="I205" s="590"/>
      <c r="J205" s="590"/>
      <c r="K205" s="590"/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</row>
    <row r="206" ht="12.75" customHeight="1">
      <c r="A206" s="590"/>
      <c r="B206" s="590"/>
      <c r="C206" s="590"/>
      <c r="D206" s="590"/>
      <c r="E206" s="590"/>
      <c r="F206" s="590"/>
      <c r="G206" s="590"/>
      <c r="H206" s="590"/>
      <c r="I206" s="590"/>
      <c r="J206" s="590"/>
      <c r="K206" s="590"/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</row>
    <row r="207" ht="12.75" customHeight="1">
      <c r="A207" s="590"/>
      <c r="B207" s="590"/>
      <c r="C207" s="590"/>
      <c r="D207" s="590"/>
      <c r="E207" s="590"/>
      <c r="F207" s="590"/>
      <c r="G207" s="590"/>
      <c r="H207" s="590"/>
      <c r="I207" s="590"/>
      <c r="J207" s="590"/>
      <c r="K207" s="590"/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</row>
    <row r="208" ht="12.75" customHeight="1">
      <c r="A208" s="590"/>
      <c r="B208" s="590"/>
      <c r="C208" s="590"/>
      <c r="D208" s="590"/>
      <c r="E208" s="590"/>
      <c r="F208" s="590"/>
      <c r="G208" s="590"/>
      <c r="H208" s="590"/>
      <c r="I208" s="590"/>
      <c r="J208" s="590"/>
      <c r="K208" s="590"/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</row>
    <row r="209" ht="12.75" customHeight="1">
      <c r="A209" s="590"/>
      <c r="B209" s="590"/>
      <c r="C209" s="590"/>
      <c r="D209" s="590"/>
      <c r="E209" s="590"/>
      <c r="F209" s="590"/>
      <c r="G209" s="590"/>
      <c r="H209" s="590"/>
      <c r="I209" s="590"/>
      <c r="J209" s="590"/>
      <c r="K209" s="590"/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</row>
    <row r="210" ht="12.75" customHeight="1">
      <c r="A210" s="590"/>
      <c r="B210" s="590"/>
      <c r="C210" s="590"/>
      <c r="D210" s="590"/>
      <c r="E210" s="590"/>
      <c r="F210" s="590"/>
      <c r="G210" s="590"/>
      <c r="H210" s="590"/>
      <c r="I210" s="590"/>
      <c r="J210" s="590"/>
      <c r="K210" s="590"/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</row>
    <row r="211" ht="12.75" customHeight="1">
      <c r="A211" s="590"/>
      <c r="B211" s="590"/>
      <c r="C211" s="590"/>
      <c r="D211" s="590"/>
      <c r="E211" s="590"/>
      <c r="F211" s="590"/>
      <c r="G211" s="590"/>
      <c r="H211" s="590"/>
      <c r="I211" s="590"/>
      <c r="J211" s="590"/>
      <c r="K211" s="590"/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</row>
    <row r="212" ht="12.75" customHeight="1">
      <c r="A212" s="590"/>
      <c r="B212" s="590"/>
      <c r="C212" s="590"/>
      <c r="D212" s="590"/>
      <c r="E212" s="590"/>
      <c r="F212" s="590"/>
      <c r="G212" s="590"/>
      <c r="H212" s="590"/>
      <c r="I212" s="590"/>
      <c r="J212" s="590"/>
      <c r="K212" s="590"/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</row>
    <row r="213" ht="12.75" customHeight="1">
      <c r="A213" s="590"/>
      <c r="B213" s="590"/>
      <c r="C213" s="590"/>
      <c r="D213" s="590"/>
      <c r="E213" s="590"/>
      <c r="F213" s="590"/>
      <c r="G213" s="590"/>
      <c r="H213" s="590"/>
      <c r="I213" s="590"/>
      <c r="J213" s="590"/>
      <c r="K213" s="590"/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</row>
    <row r="214" ht="12.75" customHeight="1">
      <c r="A214" s="590"/>
      <c r="B214" s="590"/>
      <c r="C214" s="590"/>
      <c r="D214" s="590"/>
      <c r="E214" s="590"/>
      <c r="F214" s="590"/>
      <c r="G214" s="590"/>
      <c r="H214" s="590"/>
      <c r="I214" s="590"/>
      <c r="J214" s="590"/>
      <c r="K214" s="590"/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</row>
    <row r="215" ht="12.75" customHeight="1">
      <c r="A215" s="590"/>
      <c r="B215" s="590"/>
      <c r="C215" s="590"/>
      <c r="D215" s="590"/>
      <c r="E215" s="590"/>
      <c r="F215" s="590"/>
      <c r="G215" s="590"/>
      <c r="H215" s="590"/>
      <c r="I215" s="590"/>
      <c r="J215" s="590"/>
      <c r="K215" s="590"/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</row>
    <row r="216" ht="12.75" customHeight="1">
      <c r="A216" s="590"/>
      <c r="B216" s="590"/>
      <c r="C216" s="590"/>
      <c r="D216" s="590"/>
      <c r="E216" s="590"/>
      <c r="F216" s="590"/>
      <c r="G216" s="590"/>
      <c r="H216" s="590"/>
      <c r="I216" s="590"/>
      <c r="J216" s="590"/>
      <c r="K216" s="590"/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</row>
    <row r="217" ht="12.75" customHeight="1">
      <c r="A217" s="590"/>
      <c r="B217" s="590"/>
      <c r="C217" s="590"/>
      <c r="D217" s="590"/>
      <c r="E217" s="590"/>
      <c r="F217" s="590"/>
      <c r="G217" s="590"/>
      <c r="H217" s="590"/>
      <c r="I217" s="590"/>
      <c r="J217" s="590"/>
      <c r="K217" s="590"/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</row>
    <row r="218" ht="12.75" customHeight="1">
      <c r="A218" s="590"/>
      <c r="B218" s="590"/>
      <c r="C218" s="590"/>
      <c r="D218" s="590"/>
      <c r="E218" s="590"/>
      <c r="F218" s="590"/>
      <c r="G218" s="590"/>
      <c r="H218" s="590"/>
      <c r="I218" s="590"/>
      <c r="J218" s="590"/>
      <c r="K218" s="590"/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</row>
    <row r="219" ht="12.75" customHeight="1">
      <c r="A219" s="590"/>
      <c r="B219" s="590"/>
      <c r="C219" s="590"/>
      <c r="D219" s="590"/>
      <c r="E219" s="590"/>
      <c r="F219" s="590"/>
      <c r="G219" s="590"/>
      <c r="H219" s="590"/>
      <c r="I219" s="590"/>
      <c r="J219" s="590"/>
      <c r="K219" s="590"/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</row>
    <row r="220" ht="12.75" customHeight="1">
      <c r="A220" s="590"/>
      <c r="B220" s="590"/>
      <c r="C220" s="590"/>
      <c r="D220" s="590"/>
      <c r="E220" s="590"/>
      <c r="F220" s="590"/>
      <c r="G220" s="590"/>
      <c r="H220" s="590"/>
      <c r="I220" s="590"/>
      <c r="J220" s="590"/>
      <c r="K220" s="590"/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</row>
    <row r="221" ht="12.75" customHeight="1">
      <c r="A221" s="590"/>
      <c r="B221" s="590"/>
      <c r="C221" s="590"/>
      <c r="D221" s="590"/>
      <c r="E221" s="590"/>
      <c r="F221" s="590"/>
      <c r="G221" s="590"/>
      <c r="H221" s="590"/>
      <c r="I221" s="590"/>
      <c r="J221" s="590"/>
      <c r="K221" s="590"/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</row>
    <row r="222" ht="12.75" customHeight="1">
      <c r="A222" s="590"/>
      <c r="B222" s="590"/>
      <c r="C222" s="590"/>
      <c r="D222" s="590"/>
      <c r="E222" s="590"/>
      <c r="F222" s="590"/>
      <c r="G222" s="590"/>
      <c r="H222" s="590"/>
      <c r="I222" s="590"/>
      <c r="J222" s="590"/>
      <c r="K222" s="590"/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</row>
    <row r="223" ht="12.75" customHeight="1">
      <c r="A223" s="590"/>
      <c r="B223" s="590"/>
      <c r="C223" s="590"/>
      <c r="D223" s="590"/>
      <c r="E223" s="590"/>
      <c r="F223" s="590"/>
      <c r="G223" s="590"/>
      <c r="H223" s="590"/>
      <c r="I223" s="590"/>
      <c r="J223" s="590"/>
      <c r="K223" s="590"/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</row>
    <row r="224" ht="12.75" customHeight="1">
      <c r="A224" s="590"/>
      <c r="B224" s="590"/>
      <c r="C224" s="590"/>
      <c r="D224" s="590"/>
      <c r="E224" s="590"/>
      <c r="F224" s="590"/>
      <c r="G224" s="590"/>
      <c r="H224" s="590"/>
      <c r="I224" s="590"/>
      <c r="J224" s="590"/>
      <c r="K224" s="590"/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</row>
    <row r="225" ht="12.75" customHeight="1">
      <c r="A225" s="590"/>
      <c r="B225" s="590"/>
      <c r="C225" s="590"/>
      <c r="D225" s="590"/>
      <c r="E225" s="590"/>
      <c r="F225" s="590"/>
      <c r="G225" s="590"/>
      <c r="H225" s="590"/>
      <c r="I225" s="590"/>
      <c r="J225" s="590"/>
      <c r="K225" s="590"/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</row>
    <row r="226" ht="12.75" customHeight="1">
      <c r="A226" s="590"/>
      <c r="B226" s="590"/>
      <c r="C226" s="590"/>
      <c r="D226" s="590"/>
      <c r="E226" s="590"/>
      <c r="F226" s="590"/>
      <c r="G226" s="590"/>
      <c r="H226" s="590"/>
      <c r="I226" s="590"/>
      <c r="J226" s="590"/>
      <c r="K226" s="590"/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